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\NOTEBOOK DELL\HD DO NOTEBOOK\HD EXTERNO 2022\2023\PM BOCAINA\CALÇAMENTO CADASTRAR_PROPOSTA037934_2023\REVISÃO 03\"/>
    </mc:Choice>
  </mc:AlternateContent>
  <xr:revisionPtr revIDLastSave="0" documentId="13_ncr:1_{E6625FD0-36F3-4F74-8C08-2ADF534BB851}" xr6:coauthVersionLast="47" xr6:coauthVersionMax="47" xr10:uidLastSave="{00000000-0000-0000-0000-000000000000}"/>
  <bookViews>
    <workbookView xWindow="-108" yWindow="-108" windowWidth="23256" windowHeight="12576" xr2:uid="{ADBAEB68-D21A-42B1-8A78-2075BAD3AD25}"/>
  </bookViews>
  <sheets>
    <sheet name="Orçamento" sheetId="1" r:id="rId1"/>
    <sheet name="DMT-Jazida" sheetId="2" r:id="rId2"/>
    <sheet name="COMP. MOB-DESM" sheetId="3" r:id="rId3"/>
    <sheet name="CRONOGRAMA FF" sheetId="7" r:id="rId4"/>
    <sheet name="BDI" sheetId="4" r:id="rId5"/>
    <sheet name="MEMORIA DE CALCULO" sheetId="6" r:id="rId6"/>
  </sheets>
  <definedNames>
    <definedName name="_xlnm.Print_Area" localSheetId="3">'CRONOGRAMA FF'!$A$1:$F$25</definedName>
    <definedName name="_xlnm.Print_Area" localSheetId="5">'MEMORIA DE CALCULO'!$A$1:$G$58</definedName>
    <definedName name="_xlnm.Print_Titles" localSheetId="5">'MEMORIA DE CALCULO'!$1:$6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6" l="1"/>
  <c r="D12" i="7"/>
  <c r="D14" i="7"/>
  <c r="F58" i="6"/>
  <c r="F57" i="6"/>
  <c r="F56" i="6"/>
  <c r="F55" i="6"/>
  <c r="F53" i="6"/>
  <c r="F52" i="6"/>
  <c r="F48" i="6"/>
  <c r="F39" i="6"/>
  <c r="F30" i="6"/>
  <c r="F20" i="6"/>
  <c r="D58" i="1"/>
  <c r="C58" i="1"/>
  <c r="D49" i="1"/>
  <c r="C49" i="1"/>
  <c r="D40" i="1"/>
  <c r="C40" i="1"/>
  <c r="D31" i="1"/>
  <c r="C31" i="1"/>
  <c r="C56" i="1"/>
  <c r="C57" i="1"/>
  <c r="C55" i="1"/>
  <c r="C53" i="1"/>
  <c r="C52" i="1"/>
  <c r="C47" i="1"/>
  <c r="C48" i="1"/>
  <c r="C46" i="1"/>
  <c r="C44" i="1"/>
  <c r="C43" i="1"/>
  <c r="C38" i="1"/>
  <c r="C39" i="1"/>
  <c r="C37" i="1"/>
  <c r="C35" i="1"/>
  <c r="C34" i="1"/>
  <c r="C28" i="1"/>
  <c r="C29" i="1"/>
  <c r="C30" i="1"/>
  <c r="C27" i="1"/>
  <c r="C25" i="1"/>
  <c r="C24" i="1"/>
  <c r="C19" i="1"/>
  <c r="C20" i="1"/>
  <c r="C21" i="1"/>
  <c r="C18" i="1"/>
  <c r="C16" i="1"/>
  <c r="C15" i="1"/>
  <c r="C10" i="1"/>
  <c r="C9" i="1"/>
  <c r="D9" i="1"/>
  <c r="D10" i="1"/>
  <c r="D12" i="1"/>
  <c r="D15" i="1"/>
  <c r="D16" i="1"/>
  <c r="D18" i="1"/>
  <c r="D19" i="1"/>
  <c r="D20" i="1"/>
  <c r="D21" i="1"/>
  <c r="G9" i="1"/>
  <c r="F6" i="1"/>
  <c r="F49" i="6"/>
  <c r="F47" i="6"/>
  <c r="F46" i="6"/>
  <c r="F44" i="6"/>
  <c r="F43" i="6"/>
  <c r="F40" i="6"/>
  <c r="F38" i="6"/>
  <c r="F37" i="6"/>
  <c r="F35" i="6"/>
  <c r="F34" i="6"/>
  <c r="F31" i="6"/>
  <c r="F29" i="6"/>
  <c r="F28" i="6"/>
  <c r="F27" i="6"/>
  <c r="F25" i="6"/>
  <c r="F24" i="6"/>
  <c r="F21" i="6"/>
  <c r="F19" i="6"/>
  <c r="F18" i="6"/>
  <c r="F16" i="6"/>
  <c r="F15" i="6"/>
  <c r="F12" i="6"/>
  <c r="F10" i="6"/>
  <c r="F9" i="6"/>
  <c r="E12" i="6"/>
  <c r="B4" i="7"/>
  <c r="A4" i="7"/>
  <c r="B5" i="7"/>
  <c r="A5" i="7"/>
  <c r="D5" i="7"/>
  <c r="C5" i="7"/>
  <c r="B13" i="7"/>
  <c r="B11" i="7"/>
  <c r="B9" i="7"/>
  <c r="B7" i="7"/>
  <c r="A52" i="1" l="1"/>
  <c r="A53" i="1"/>
  <c r="A54" i="1"/>
  <c r="A55" i="1"/>
  <c r="A56" i="1"/>
  <c r="A57" i="1"/>
  <c r="A58" i="1"/>
  <c r="A51" i="1"/>
  <c r="A43" i="1"/>
  <c r="A44" i="1"/>
  <c r="A45" i="1"/>
  <c r="A46" i="1"/>
  <c r="A47" i="1"/>
  <c r="A48" i="1"/>
  <c r="A49" i="1"/>
  <c r="A42" i="1"/>
  <c r="A34" i="1"/>
  <c r="A35" i="1"/>
  <c r="A36" i="1"/>
  <c r="A37" i="1"/>
  <c r="A38" i="1"/>
  <c r="A39" i="1"/>
  <c r="A40" i="1"/>
  <c r="A33" i="1"/>
  <c r="A25" i="1"/>
  <c r="A26" i="1"/>
  <c r="A27" i="1"/>
  <c r="A28" i="1"/>
  <c r="A29" i="1"/>
  <c r="A30" i="1"/>
  <c r="A31" i="1"/>
  <c r="A24" i="1"/>
  <c r="A23" i="1"/>
  <c r="A16" i="1"/>
  <c r="A17" i="1"/>
  <c r="A18" i="1"/>
  <c r="A19" i="1"/>
  <c r="A20" i="1"/>
  <c r="A21" i="1"/>
  <c r="A15" i="1"/>
  <c r="A14" i="1"/>
  <c r="A12" i="1"/>
  <c r="A10" i="1"/>
  <c r="A11" i="1"/>
  <c r="A9" i="1"/>
  <c r="A8" i="1"/>
  <c r="F58" i="1"/>
  <c r="H58" i="1" s="1"/>
  <c r="F56" i="1"/>
  <c r="H56" i="1" s="1"/>
  <c r="F52" i="1"/>
  <c r="H52" i="1" s="1"/>
  <c r="A50" i="6"/>
  <c r="F43" i="1"/>
  <c r="H43" i="1" s="1"/>
  <c r="A41" i="6"/>
  <c r="I22" i="2"/>
  <c r="N22" i="2" s="1"/>
  <c r="I16" i="2"/>
  <c r="N16" i="2" s="1"/>
  <c r="L18" i="2" s="1"/>
  <c r="F40" i="1"/>
  <c r="H40" i="1" s="1"/>
  <c r="F20" i="1"/>
  <c r="H20" i="1" s="1"/>
  <c r="F30" i="1"/>
  <c r="H30" i="1" s="1"/>
  <c r="F28" i="1"/>
  <c r="H28" i="1" s="1"/>
  <c r="F27" i="1"/>
  <c r="H27" i="1" s="1"/>
  <c r="F25" i="1"/>
  <c r="H25" i="1" s="1"/>
  <c r="F24" i="1"/>
  <c r="H24" i="1" s="1"/>
  <c r="F37" i="1"/>
  <c r="H37" i="1" s="1"/>
  <c r="F34" i="1"/>
  <c r="H34" i="1" s="1"/>
  <c r="A32" i="6"/>
  <c r="F31" i="1"/>
  <c r="H31" i="1" s="1"/>
  <c r="F29" i="1"/>
  <c r="H29" i="1" s="1"/>
  <c r="A22" i="6"/>
  <c r="A13" i="6"/>
  <c r="F21" i="1"/>
  <c r="H21" i="1" s="1"/>
  <c r="F19" i="1"/>
  <c r="H19" i="1" s="1"/>
  <c r="F18" i="1"/>
  <c r="H18" i="1" s="1"/>
  <c r="F16" i="1"/>
  <c r="H16" i="1" s="1"/>
  <c r="F15" i="1"/>
  <c r="H15" i="1" s="1"/>
  <c r="F53" i="1"/>
  <c r="H53" i="1" s="1"/>
  <c r="F55" i="1"/>
  <c r="H55" i="1" s="1"/>
  <c r="F57" i="1"/>
  <c r="H57" i="1" s="1"/>
  <c r="F44" i="1"/>
  <c r="H44" i="1" s="1"/>
  <c r="F46" i="1"/>
  <c r="H46" i="1" s="1"/>
  <c r="F47" i="1"/>
  <c r="H47" i="1" s="1"/>
  <c r="F48" i="1"/>
  <c r="H48" i="1" s="1"/>
  <c r="F49" i="1"/>
  <c r="H49" i="1" s="1"/>
  <c r="F35" i="1"/>
  <c r="H35" i="1" s="1"/>
  <c r="F38" i="1"/>
  <c r="H38" i="1" s="1"/>
  <c r="F39" i="1"/>
  <c r="H39" i="1" s="1"/>
  <c r="F12" i="1"/>
  <c r="H12" i="1" s="1"/>
  <c r="H11" i="1" s="1"/>
  <c r="F9" i="1"/>
  <c r="H9" i="1" s="1"/>
  <c r="G20" i="4"/>
  <c r="I40" i="2"/>
  <c r="N40" i="2" s="1"/>
  <c r="L42" i="2" s="1"/>
  <c r="I34" i="2"/>
  <c r="N34" i="2" s="1"/>
  <c r="L36" i="2" s="1"/>
  <c r="I28" i="2"/>
  <c r="N28" i="2" s="1"/>
  <c r="C4" i="4"/>
  <c r="C3" i="4"/>
  <c r="B7" i="2"/>
  <c r="B6" i="2"/>
  <c r="B5" i="2"/>
  <c r="A34" i="4"/>
  <c r="G21" i="4"/>
  <c r="F20" i="4"/>
  <c r="A31" i="4"/>
  <c r="G19" i="4"/>
  <c r="G18" i="4"/>
  <c r="O8" i="3"/>
  <c r="O7" i="3"/>
  <c r="O6" i="3"/>
  <c r="O5" i="3"/>
  <c r="L24" i="2" l="1"/>
  <c r="H51" i="1"/>
  <c r="L30" i="2"/>
  <c r="H36" i="1"/>
  <c r="H26" i="1"/>
  <c r="H33" i="1"/>
  <c r="H23" i="1"/>
  <c r="H42" i="1"/>
  <c r="H14" i="1"/>
  <c r="F23" i="4"/>
  <c r="H54" i="1"/>
  <c r="H45" i="1"/>
  <c r="H17" i="1"/>
  <c r="O9" i="3"/>
  <c r="G10" i="1" s="1"/>
  <c r="H10" i="1" s="1"/>
  <c r="H8" i="1" s="1"/>
  <c r="H59" i="1" s="1"/>
  <c r="F22" i="4"/>
  <c r="G22" i="4" s="1"/>
  <c r="G14" i="4"/>
  <c r="G16" i="4"/>
  <c r="G15" i="4"/>
  <c r="G17" i="4"/>
  <c r="D10" i="7" l="1"/>
  <c r="I28" i="1"/>
  <c r="F14" i="7" l="1"/>
  <c r="E10" i="7"/>
  <c r="F10" i="7"/>
  <c r="F12" i="7"/>
  <c r="D8" i="7"/>
  <c r="E8" i="7" s="1"/>
  <c r="H60" i="1"/>
  <c r="H61" i="1" s="1"/>
  <c r="D4" i="7" s="1"/>
  <c r="I48" i="1"/>
  <c r="I57" i="1"/>
  <c r="I47" i="1"/>
  <c r="I54" i="1"/>
  <c r="I55" i="1"/>
  <c r="I44" i="1"/>
  <c r="I52" i="1"/>
  <c r="I49" i="1"/>
  <c r="I56" i="1"/>
  <c r="I43" i="1"/>
  <c r="I53" i="1"/>
  <c r="I58" i="1"/>
  <c r="I46" i="1"/>
  <c r="I51" i="1"/>
  <c r="I45" i="1"/>
  <c r="I42" i="1"/>
  <c r="I39" i="1"/>
  <c r="I40" i="1"/>
  <c r="I37" i="1"/>
  <c r="I35" i="1"/>
  <c r="I38" i="1"/>
  <c r="I36" i="1"/>
  <c r="I34" i="1"/>
  <c r="I33" i="1"/>
  <c r="I26" i="1"/>
  <c r="I29" i="1"/>
  <c r="I30" i="1"/>
  <c r="I31" i="1"/>
  <c r="I24" i="1"/>
  <c r="I27" i="1"/>
  <c r="I25" i="1"/>
  <c r="I17" i="1"/>
  <c r="I16" i="1"/>
  <c r="I20" i="1"/>
  <c r="I8" i="1"/>
  <c r="I10" i="1"/>
  <c r="I18" i="1"/>
  <c r="I11" i="1"/>
  <c r="I23" i="1"/>
  <c r="I15" i="1"/>
  <c r="I14" i="1"/>
  <c r="I12" i="1"/>
  <c r="I21" i="1"/>
  <c r="I19" i="1"/>
  <c r="I9" i="1"/>
  <c r="E14" i="7" l="1"/>
  <c r="F16" i="7"/>
  <c r="E12" i="7"/>
  <c r="D16" i="7"/>
  <c r="D15" i="7" s="1"/>
  <c r="E16" i="7" l="1"/>
  <c r="E15" i="7" s="1"/>
  <c r="F15" i="7"/>
  <c r="D13" i="7"/>
  <c r="D9" i="7"/>
  <c r="D7" i="7"/>
  <c r="D11" i="7"/>
  <c r="C12" i="1"/>
</calcChain>
</file>

<file path=xl/sharedStrings.xml><?xml version="1.0" encoding="utf-8"?>
<sst xmlns="http://schemas.openxmlformats.org/spreadsheetml/2006/main" count="522" uniqueCount="243">
  <si>
    <t>Planilha Orçamentária</t>
  </si>
  <si>
    <t>BDI:</t>
  </si>
  <si>
    <t>Item</t>
  </si>
  <si>
    <t xml:space="preserve">CÓDIGO </t>
  </si>
  <si>
    <t>BANCO DE DADOS</t>
  </si>
  <si>
    <t>Descrição</t>
  </si>
  <si>
    <t>Unid.</t>
  </si>
  <si>
    <t>Quant.</t>
  </si>
  <si>
    <t>Preço unitário
 (R$)</t>
  </si>
  <si>
    <t>Preço total
 (R$)</t>
  </si>
  <si>
    <t>Peso (%)</t>
  </si>
  <si>
    <t>SINAPI</t>
  </si>
  <si>
    <t xml:space="preserve"> 103689 </t>
  </si>
  <si>
    <t xml:space="preserve">COMPOSIÇÃO </t>
  </si>
  <si>
    <t>01</t>
  </si>
  <si>
    <t>2.1</t>
  </si>
  <si>
    <t>SICRO DNIT</t>
  </si>
  <si>
    <t xml:space="preserve"> 5914374 </t>
  </si>
  <si>
    <t xml:space="preserve"> 5501700 </t>
  </si>
  <si>
    <t xml:space="preserve"> 5502985 </t>
  </si>
  <si>
    <t>VALOR TOTAL DA OBRA =</t>
  </si>
  <si>
    <t>VALOR TOTAL DA OBRA COM BDI =</t>
  </si>
  <si>
    <t>SERVIÇOS PRELIMINARES</t>
  </si>
  <si>
    <t>Mobilização de equipamentos</t>
  </si>
  <si>
    <t>TERRAPLENAGEM</t>
  </si>
  <si>
    <t>Transporte com caminhão basculante de 10 m³ - rodovia em revestimento primário</t>
  </si>
  <si>
    <t>Desmatamento, destocamento, limpeza de área e estocagem do material de limpeza com árvores de diâmetro até 0,15 m</t>
  </si>
  <si>
    <t>REVESTIMENTO PRIMÁRIO</t>
  </si>
  <si>
    <t>Limpeza mecanizada da camada vegetal</t>
  </si>
  <si>
    <t>m²</t>
  </si>
  <si>
    <t>und</t>
  </si>
  <si>
    <t>m³</t>
  </si>
  <si>
    <t>tkm</t>
  </si>
  <si>
    <t>1.1</t>
  </si>
  <si>
    <t>1.2</t>
  </si>
  <si>
    <t>3.1</t>
  </si>
  <si>
    <t>3.2</t>
  </si>
  <si>
    <t>3.4</t>
  </si>
  <si>
    <t>4.1</t>
  </si>
  <si>
    <t>4.2</t>
  </si>
  <si>
    <t>4.3</t>
  </si>
  <si>
    <t>5.1</t>
  </si>
  <si>
    <t>Memória de Cálculo da DMT</t>
  </si>
  <si>
    <t>QUADROS DE DISTRIBUIÇÃO DE MATERIAL DE JAZIDA - DMT</t>
  </si>
  <si>
    <t>Empolamento:</t>
  </si>
  <si>
    <t>Peso específico:</t>
  </si>
  <si>
    <t>t/m³</t>
  </si>
  <si>
    <t>Distância entre estacas:</t>
  </si>
  <si>
    <t>Espessura:</t>
  </si>
  <si>
    <t>m</t>
  </si>
  <si>
    <t>Largura da plataforma:</t>
  </si>
  <si>
    <t>CÁLCULO DA DMT -  JAZIDA FORA DO TRECHO</t>
  </si>
  <si>
    <t>JAZIDA UTILIZADA</t>
  </si>
  <si>
    <t>LOCALIZAÇÃO DA JAZIDA</t>
  </si>
  <si>
    <t>DISTÂNCIA FIXA DA JAZIDA
(Km)</t>
  </si>
  <si>
    <t>EXTENSÃO TOTAL (km) + DISTÂNCIA FIXA
(Km)</t>
  </si>
  <si>
    <t>J1 - TRECHO 01</t>
  </si>
  <si>
    <t>DMT 01  -----&gt;</t>
  </si>
  <si>
    <t>KM</t>
  </si>
  <si>
    <t>CÁLCULO DA DMT -  JAZIDA DENTRO DO TRECHO</t>
  </si>
  <si>
    <t>J1 - TRECHO 02</t>
  </si>
  <si>
    <t>DMT 02  -----&gt;</t>
  </si>
  <si>
    <t>EXTENSÃO DO TRECHO
(Km)</t>
  </si>
  <si>
    <t>EXTENSÃO TOTAL DO TRECHO/2 (Km)</t>
  </si>
  <si>
    <t>Mobilização e Desmobilização de equipamentos</t>
  </si>
  <si>
    <t>UND</t>
  </si>
  <si>
    <t>COMPOSIÇÃO ANALÍTICA</t>
  </si>
  <si>
    <t>ITEM</t>
  </si>
  <si>
    <t>CÓDIGO</t>
  </si>
  <si>
    <t>DISCRIMINAÇÃO</t>
  </si>
  <si>
    <t>REFERÊNCIA</t>
  </si>
  <si>
    <t>QUANT UND</t>
  </si>
  <si>
    <t>N° viagens</t>
  </si>
  <si>
    <t>FATOR DE UTILIZAÇÃO (FU)</t>
  </si>
  <si>
    <t>VELOCIDADE (V)</t>
  </si>
  <si>
    <t>CUSTO HORÁRIO DO TRANSPORTE (CH) R$</t>
  </si>
  <si>
    <t>PREÇO TOTAL (cMob)</t>
  </si>
  <si>
    <t xml:space="preserve"> EQUIPAMENTOS</t>
  </si>
  <si>
    <t>EQUIPAMENTOS TRANSPORTADO</t>
  </si>
  <si>
    <t>VEÍCULO TRANSPORTADO (DNIT - VOLUME 09)</t>
  </si>
  <si>
    <t>SICRO E9665</t>
  </si>
  <si>
    <t>Cavalo mecânico com semirreboque com capacidade de 22 t - 240 Kw</t>
  </si>
  <si>
    <t>E9524</t>
  </si>
  <si>
    <t>Motoniveladora - 93 Kw</t>
  </si>
  <si>
    <t>E9685</t>
  </si>
  <si>
    <t>Rolo compactador pé de carneiro vibratório autopropelido de 11,6 t - 82 Kw</t>
  </si>
  <si>
    <t>E9579</t>
  </si>
  <si>
    <t>Caminhão basculante com capacidade de 10 m³ - 188 kW</t>
  </si>
  <si>
    <t>Condução por conta própria</t>
  </si>
  <si>
    <t>E9571</t>
  </si>
  <si>
    <t>Distância (DM) km</t>
  </si>
  <si>
    <t>CUSTO TOTAL =</t>
  </si>
  <si>
    <t xml:space="preserve">Cálculo do BDI </t>
  </si>
  <si>
    <t>TIPO DE OBRA DO EMPREENDIMENTO</t>
  </si>
  <si>
    <t>DESONERAÇÃO</t>
  </si>
  <si>
    <t>Construção de Praças Urbanas, Rodovias, Ferrovias e recapeamento e pavimentação de vias urbanas</t>
  </si>
  <si>
    <t>Conforme legislação tributária municipal, definir estimativa de percentual da base de cálculo para o ISS:</t>
  </si>
  <si>
    <t>Sobre a base de cálculo, definir a respectiva alíquota do ISS (entre 2% e 5%):</t>
  </si>
  <si>
    <t>Itens</t>
  </si>
  <si>
    <t>Siglas</t>
  </si>
  <si>
    <t>% Adotado</t>
  </si>
  <si>
    <t>Situação</t>
  </si>
  <si>
    <t>1º Quartil</t>
  </si>
  <si>
    <t>Médio</t>
  </si>
  <si>
    <t>3º Quartil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</si>
  <si>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</si>
  <si>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</si>
  <si>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</si>
  <si>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</si>
  <si>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</si>
  <si>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</si>
  <si>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</si>
  <si>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</si>
  <si>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</si>
  <si>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</si>
  <si>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</si>
  <si>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</si>
  <si>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</si>
  <si>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</si>
  <si>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</si>
  <si>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</si>
  <si>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
(Fórmula Acórdão TCU)</t>
  </si>
  <si>
    <t>BDI COM desoneração
(Fórmula Acórdão TCU)</t>
  </si>
  <si>
    <t>Os valores de BDI foram calculados com o emprego da fórmula:</t>
  </si>
  <si>
    <t>Data</t>
  </si>
  <si>
    <t>Responsável Técnico</t>
  </si>
  <si>
    <t>Responsável Proponente</t>
  </si>
  <si>
    <t>Nome:</t>
  </si>
  <si>
    <t>Título:</t>
  </si>
  <si>
    <t>Cargo:</t>
  </si>
  <si>
    <t>CREA/CAU:</t>
  </si>
  <si>
    <t xml:space="preserve">BDI </t>
  </si>
  <si>
    <t>PROPONENTE:</t>
  </si>
  <si>
    <t>=</t>
  </si>
  <si>
    <t>OBJETO:</t>
  </si>
  <si>
    <t>Fornecimento e instalação de placa de obra com chapa galvanizada e estrutura de madeira</t>
  </si>
  <si>
    <t>Reconformação da plataforma</t>
  </si>
  <si>
    <t>Execução de revestimento primário com material de jazida</t>
  </si>
  <si>
    <t>Proposta nº: 037934/2023</t>
  </si>
  <si>
    <t>Engenheiro civil de obra junior com encargos complementares</t>
  </si>
  <si>
    <t>4.4</t>
  </si>
  <si>
    <t xml:space="preserve">Proponete: </t>
  </si>
  <si>
    <t>Prefeitura municipal de Bocaina de Minas</t>
  </si>
  <si>
    <t xml:space="preserve">Obra/Projeto: </t>
  </si>
  <si>
    <t>Recuperação de estradas vicinais</t>
  </si>
  <si>
    <t xml:space="preserve">Local / Implantação: </t>
  </si>
  <si>
    <t xml:space="preserve">Estradas vicinais </t>
  </si>
  <si>
    <t xml:space="preserve">Objeto/obra = </t>
  </si>
  <si>
    <t xml:space="preserve">Local/implantação = </t>
  </si>
  <si>
    <t xml:space="preserve">Proponente = </t>
  </si>
  <si>
    <t>Priscila Cristina de Paula Neto</t>
  </si>
  <si>
    <t>Engenheira Civil</t>
  </si>
  <si>
    <t>MG 142.702/D</t>
  </si>
  <si>
    <t>Prefeito Municipal</t>
  </si>
  <si>
    <t>Luzimar de Moura Benfica</t>
  </si>
  <si>
    <t>DMT 03  -----&gt;</t>
  </si>
  <si>
    <t>J1 - TRECHO 03</t>
  </si>
  <si>
    <t>DMT 04  -----&gt;</t>
  </si>
  <si>
    <t>J1 - TRECHO 04</t>
  </si>
  <si>
    <t>J1 - TRECHO 05</t>
  </si>
  <si>
    <t>DMT 05  -----&gt;</t>
  </si>
  <si>
    <t>1,50 X 3,00 &gt; Placa de obra</t>
  </si>
  <si>
    <t>FÓRMULA/MEMÓRIA</t>
  </si>
  <si>
    <t>1,00 UNID.</t>
  </si>
  <si>
    <t>200,00 x 1,00 x 2,00 = extensão x larg. x lados</t>
  </si>
  <si>
    <t>200,00 x 6,50 = extensão x larg.</t>
  </si>
  <si>
    <t>200,00 x 6,50 x 0,15 = extensão x larg. x espessura</t>
  </si>
  <si>
    <t>variavél</t>
  </si>
  <si>
    <t>ADMINISTRAÇÃO DA OBRA</t>
  </si>
  <si>
    <t>TRECHO 01 - VALE DO ALCANTILADO - MIRANTÃO</t>
  </si>
  <si>
    <t>300,00 x 1,00 x 2,00 = extensão x larg. x lados</t>
  </si>
  <si>
    <t>Limpeza de valeta de corte</t>
  </si>
  <si>
    <t>80,00 x 1,00 = extensão x lados</t>
  </si>
  <si>
    <t>400,00 x 1,00 x 2,00 = extensão x larg. x lados</t>
  </si>
  <si>
    <t>400,00 x 5,00 = extensão x larg.</t>
  </si>
  <si>
    <t>400,00 x 5,50 = extensão x larg.</t>
  </si>
  <si>
    <t>300,00 x 5,50 x 0,15 = extensão x larg. x espessura</t>
  </si>
  <si>
    <t>400,00 x 5,50 x 0,15 = extensão x larg. x espessura</t>
  </si>
  <si>
    <t>300,00 x 5,50 = extensão x larg.</t>
  </si>
  <si>
    <t xml:space="preserve"> 22°29'2.09"S   44° 3'52.77"O</t>
  </si>
  <si>
    <t/>
  </si>
  <si>
    <t>TRECHO 04 - PEDRA DA GÁVEA - MIRANTÃO</t>
  </si>
  <si>
    <t>400,00 x 5,00 x 0,15 = extensão x larg. x espessura</t>
  </si>
  <si>
    <t>TRECHO 02 - ESTRADA DO ALCANTILADO 1 - MIRANTÃO</t>
  </si>
  <si>
    <t>TRECHO 03 - ESTRADA DO ALCANTILADO 2 - MIRANTÃO</t>
  </si>
  <si>
    <t>Memória de cálculo</t>
  </si>
  <si>
    <t>6.1</t>
  </si>
  <si>
    <t>6.2</t>
  </si>
  <si>
    <t>6.3</t>
  </si>
  <si>
    <t>6.4</t>
  </si>
  <si>
    <t>6.5</t>
  </si>
  <si>
    <t>7.1</t>
  </si>
  <si>
    <t>7.2</t>
  </si>
  <si>
    <t>8.1</t>
  </si>
  <si>
    <t>8.2</t>
  </si>
  <si>
    <t>8.3</t>
  </si>
  <si>
    <t>8.4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</si>
  <si>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</si>
  <si>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</si>
  <si>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</si>
  <si>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</si>
  <si>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</si>
  <si>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</si>
  <si>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</si>
  <si>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</si>
  <si>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</si>
  <si>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12.2</t>
  </si>
  <si>
    <t>12.3</t>
  </si>
  <si>
    <t>12.4</t>
  </si>
  <si>
    <t xml:space="preserve">A N E X O   I I </t>
  </si>
  <si>
    <t>CRONOGRAMA FÍSICO-FINANCEIRO</t>
  </si>
  <si>
    <t>VALOR :</t>
  </si>
  <si>
    <t>ETAPAS/DESCRIÇÃO</t>
  </si>
  <si>
    <t>FÍSICO/ FINANCEIRO</t>
  </si>
  <si>
    <t>TOTAL  ETAPAS</t>
  </si>
  <si>
    <t>MÊS 1</t>
  </si>
  <si>
    <t>MÊS 2</t>
  </si>
  <si>
    <t>Físico %</t>
  </si>
  <si>
    <t>Financeiro</t>
  </si>
  <si>
    <t>TOTAL</t>
  </si>
  <si>
    <t>142.702/D</t>
  </si>
  <si>
    <t>CREA</t>
  </si>
  <si>
    <t>Comunidade de Mirantão</t>
  </si>
  <si>
    <r>
      <rPr>
        <b/>
        <sz val="10"/>
        <rFont val="Arial"/>
        <family val="2"/>
      </rPr>
      <t>PRAZO DA OBRA:</t>
    </r>
    <r>
      <rPr>
        <sz val="11"/>
        <color theme="1"/>
        <rFont val="Calibri"/>
        <family val="2"/>
        <scheme val="minor"/>
      </rPr>
      <t xml:space="preserve">                  2 MESES</t>
    </r>
  </si>
  <si>
    <t>Caminhão tanque com capacidade de 10.000 l - 188 Kw</t>
  </si>
  <si>
    <t>Local Bocaina de Minas</t>
  </si>
  <si>
    <t>100305</t>
  </si>
  <si>
    <t>H</t>
  </si>
  <si>
    <t>20h (Total de horas trabalhadas semanalmente) x  1,00 (Nº de engenheiro civil) x 4,00 (Nº de semanas dentro de um mês) x 2,00 (Nº de meses) = 20 x 1,00 x 4,00 x 2,00 = 160h</t>
  </si>
  <si>
    <t>não</t>
  </si>
  <si>
    <t>Data ref.: SINAPI 07/2023 E SICRO 07/2023 onerado</t>
  </si>
  <si>
    <t>BDI (21,35%) =</t>
  </si>
  <si>
    <t>Compactação de aterros a 100% do Proctor normal</t>
  </si>
  <si>
    <t>DATA: 07/11/2023</t>
  </si>
  <si>
    <t>1400,00 x 1,00 x 2,00 = extensão x larg. x lados</t>
  </si>
  <si>
    <t>1400,00 x 5,00 = extensão x larg.</t>
  </si>
  <si>
    <t>1400,00 x 5,00 x 0,15 = extensão x larg. x espessura</t>
  </si>
  <si>
    <t>TRECHO 05 - SERRA DO PALMITAL - MIRANTÃO</t>
  </si>
  <si>
    <t>94,50 x 1,78 x 1050,00 = DMT x peso específico x volume de material</t>
  </si>
  <si>
    <r>
      <t>98,30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x 1,78 x 195,00 = DMT x peso específico x volume de material</t>
    </r>
  </si>
  <si>
    <r>
      <t>94,10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x 1,78 x 330,00 = DMT x peso específico x volume de material</t>
    </r>
  </si>
  <si>
    <r>
      <t>94,90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x 1,78 x 247,50 = DMT x peso específico x volume de material</t>
    </r>
  </si>
  <si>
    <r>
      <t>93,70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x 1,78 x 300,00 = DMT x peso específico x volume de material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</si>
</sst>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_(&quot;R$ &quot;* #,##0.00_);_(&quot;R$ &quot;* \(#,##0.00\);_(&quot;R$ &quot;* \-??_);_(@_)"/>
    <numFmt numFmtId="165" formatCode="#,##0.0"/>
    <numFmt numFmtId="166" formatCode="0.0000"/>
    <numFmt numFmtId="167" formatCode="_(&quot;R$ &quot;* #,##0.00_);_(&quot;R$ &quot;* \(#,##0.00\);_(&quot;R$ &quot;* &quot;-&quot;??_);_(@_)"/>
    <numFmt numFmtId="168" formatCode="General;General;"/>
    <numFmt numFmtId="169" formatCode="[$-F800]dddd\,\ mmmm\ dd\,\ yyyy"/>
    <numFmt numFmtId="170" formatCode="dd\ &quot;de&quot;\ mmmm\ &quot;de&quot;\ yyyy"/>
    <numFmt numFmtId="171" formatCode="&quot;R$&quot;\ #,##0.00"/>
    <numFmt numFmtId="172" formatCode="&quot;R$ &quot;#,##0.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28"/>
      <color theme="0"/>
      <name val="Arial"/>
      <family val="2"/>
    </font>
    <font>
      <b/>
      <sz val="18"/>
      <name val="Arial"/>
      <family val="2"/>
    </font>
    <font>
      <b/>
      <i/>
      <sz val="12"/>
      <color theme="1"/>
      <name val="Arial"/>
      <family val="2"/>
    </font>
    <font>
      <b/>
      <sz val="9"/>
      <color theme="1"/>
      <name val="Arial"/>
      <family val="2"/>
    </font>
    <font>
      <i/>
      <sz val="12"/>
      <name val="Arial"/>
      <family val="2"/>
    </font>
    <font>
      <b/>
      <sz val="13"/>
      <color theme="1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 Black"/>
      <family val="2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1"/>
      <color indexed="9"/>
      <name val="Arial"/>
      <family val="2"/>
    </font>
    <font>
      <sz val="11"/>
      <color theme="0" tint="-4.9989318521683403E-2"/>
      <name val="Arial"/>
      <family val="2"/>
    </font>
    <font>
      <b/>
      <sz val="11"/>
      <color indexed="12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1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9"/>
      <color rgb="FFFF0000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26"/>
      </patternFill>
    </fill>
    <fill>
      <patternFill patternType="solid">
        <fgColor theme="9" tint="0.39997558519241921"/>
        <bgColor indexed="41"/>
      </patternFill>
    </fill>
    <fill>
      <patternFill patternType="solid">
        <fgColor rgb="FF00B050"/>
        <bgColor indexed="41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ill="0" applyBorder="0" applyAlignment="0" applyProtection="0"/>
    <xf numFmtId="0" fontId="8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18" fillId="0" borderId="0"/>
    <xf numFmtId="167" fontId="8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4" fontId="11" fillId="0" borderId="2" xfId="1" applyFont="1" applyFill="1" applyBorder="1" applyAlignment="1" applyProtection="1">
      <alignment horizontal="left" vertical="center" wrapText="1"/>
    </xf>
    <xf numFmtId="44" fontId="9" fillId="3" borderId="2" xfId="1" applyFont="1" applyFill="1" applyBorder="1" applyAlignment="1" applyProtection="1">
      <alignment horizontal="left" vertical="center" wrapText="1"/>
    </xf>
    <xf numFmtId="10" fontId="9" fillId="3" borderId="2" xfId="2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64" fontId="7" fillId="6" borderId="2" xfId="3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left" vertical="center"/>
    </xf>
    <xf numFmtId="44" fontId="10" fillId="7" borderId="2" xfId="1" applyFont="1" applyFill="1" applyBorder="1" applyAlignment="1" applyProtection="1">
      <alignment vertical="center"/>
    </xf>
    <xf numFmtId="10" fontId="10" fillId="7" borderId="2" xfId="2" applyNumberFormat="1" applyFont="1" applyFill="1" applyBorder="1" applyAlignment="1" applyProtection="1">
      <alignment horizontal="center" vertical="center"/>
    </xf>
    <xf numFmtId="44" fontId="14" fillId="7" borderId="2" xfId="1" applyFont="1" applyFill="1" applyBorder="1" applyAlignment="1" applyProtection="1">
      <alignment vertical="center"/>
    </xf>
    <xf numFmtId="44" fontId="10" fillId="8" borderId="2" xfId="0" applyNumberFormat="1" applyFont="1" applyFill="1" applyBorder="1" applyAlignment="1">
      <alignment horizontal="center" vertical="center"/>
    </xf>
    <xf numFmtId="44" fontId="10" fillId="8" borderId="3" xfId="0" applyNumberFormat="1" applyFont="1" applyFill="1" applyBorder="1" applyAlignment="1">
      <alignment horizontal="center" vertical="center"/>
    </xf>
    <xf numFmtId="9" fontId="16" fillId="0" borderId="0" xfId="4" applyNumberFormat="1" applyFont="1" applyAlignment="1">
      <alignment horizontal="left" vertical="center" wrapText="1"/>
    </xf>
    <xf numFmtId="0" fontId="16" fillId="0" borderId="0" xfId="4" applyFont="1" applyAlignment="1">
      <alignment horizontal="right" vertical="center" wrapText="1"/>
    </xf>
    <xf numFmtId="4" fontId="16" fillId="0" borderId="0" xfId="4" applyNumberFormat="1" applyFont="1" applyAlignment="1">
      <alignment horizontal="left" vertical="center" wrapText="1"/>
    </xf>
    <xf numFmtId="2" fontId="16" fillId="0" borderId="0" xfId="4" applyNumberFormat="1" applyFont="1" applyAlignment="1">
      <alignment horizontal="right" vertical="center" wrapText="1"/>
    </xf>
    <xf numFmtId="0" fontId="16" fillId="0" borderId="0" xfId="4" applyFont="1" applyAlignment="1">
      <alignment horizontal="center" vertical="center" wrapText="1"/>
    </xf>
    <xf numFmtId="2" fontId="16" fillId="0" borderId="0" xfId="4" applyNumberFormat="1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3" fillId="0" borderId="0" xfId="1" applyFont="1" applyBorder="1" applyAlignment="1">
      <alignment vertical="center"/>
    </xf>
    <xf numFmtId="0" fontId="22" fillId="1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25" fillId="0" borderId="0" xfId="4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" fontId="30" fillId="0" borderId="16" xfId="8" applyNumberFormat="1" applyFont="1" applyBorder="1" applyAlignment="1" applyProtection="1">
      <alignment horizontal="center" vertical="center"/>
      <protection locked="0"/>
    </xf>
    <xf numFmtId="0" fontId="30" fillId="0" borderId="16" xfId="8" applyFont="1" applyBorder="1" applyAlignment="1" applyProtection="1">
      <alignment horizontal="left" vertical="center"/>
      <protection locked="0"/>
    </xf>
    <xf numFmtId="0" fontId="30" fillId="0" borderId="16" xfId="6" applyFont="1" applyBorder="1" applyAlignment="1">
      <alignment vertical="center"/>
    </xf>
    <xf numFmtId="2" fontId="30" fillId="0" borderId="16" xfId="8" applyNumberFormat="1" applyFont="1" applyBorder="1" applyAlignment="1" applyProtection="1">
      <alignment horizontal="center" vertical="center" wrapText="1"/>
      <protection locked="0"/>
    </xf>
    <xf numFmtId="2" fontId="30" fillId="0" borderId="16" xfId="8" quotePrefix="1" applyNumberFormat="1" applyFont="1" applyBorder="1" applyAlignment="1" applyProtection="1">
      <alignment horizontal="center" vertical="center"/>
      <protection locked="0"/>
    </xf>
    <xf numFmtId="2" fontId="31" fillId="0" borderId="16" xfId="8" quotePrefix="1" applyNumberFormat="1" applyFont="1" applyBorder="1" applyAlignment="1" applyProtection="1">
      <alignment horizontal="center" vertical="center"/>
      <protection locked="0"/>
    </xf>
    <xf numFmtId="0" fontId="31" fillId="0" borderId="16" xfId="8" applyFont="1" applyBorder="1" applyAlignment="1" applyProtection="1">
      <alignment horizontal="left" vertical="center"/>
      <protection locked="0"/>
    </xf>
    <xf numFmtId="2" fontId="30" fillId="0" borderId="16" xfId="8" quotePrefix="1" applyNumberFormat="1" applyFont="1" applyFill="1" applyBorder="1" applyAlignment="1" applyProtection="1">
      <alignment horizontal="center" vertical="center"/>
      <protection locked="0"/>
    </xf>
    <xf numFmtId="1" fontId="30" fillId="0" borderId="0" xfId="8" applyNumberFormat="1" applyFont="1" applyAlignment="1" applyProtection="1">
      <alignment horizontal="right" vertical="top"/>
      <protection locked="0"/>
    </xf>
    <xf numFmtId="0" fontId="30" fillId="0" borderId="0" xfId="6" applyFont="1" applyAlignment="1" applyProtection="1">
      <alignment horizontal="left" vertical="top"/>
      <protection locked="0"/>
    </xf>
    <xf numFmtId="0" fontId="30" fillId="0" borderId="0" xfId="6" applyFont="1"/>
    <xf numFmtId="166" fontId="30" fillId="0" borderId="0" xfId="8" applyNumberFormat="1" applyFont="1" applyAlignment="1" applyProtection="1">
      <alignment horizontal="right" vertical="top"/>
      <protection locked="0"/>
    </xf>
    <xf numFmtId="2" fontId="30" fillId="0" borderId="0" xfId="8" applyNumberFormat="1" applyFont="1" applyAlignment="1" applyProtection="1">
      <alignment horizontal="right" vertical="top"/>
      <protection locked="0"/>
    </xf>
    <xf numFmtId="2" fontId="30" fillId="0" borderId="0" xfId="6" applyNumberFormat="1" applyFont="1" applyAlignment="1" applyProtection="1">
      <alignment horizontal="right" vertical="top"/>
      <protection locked="0"/>
    </xf>
    <xf numFmtId="2" fontId="30" fillId="0" borderId="0" xfId="6" applyNumberFormat="1" applyFont="1" applyAlignment="1" applyProtection="1">
      <alignment horizontal="center" vertical="top"/>
      <protection locked="0"/>
    </xf>
    <xf numFmtId="44" fontId="30" fillId="0" borderId="0" xfId="1" applyFont="1" applyAlignment="1" applyProtection="1">
      <alignment horizontal="right" vertical="top"/>
      <protection locked="0"/>
    </xf>
    <xf numFmtId="49" fontId="27" fillId="5" borderId="11" xfId="5" applyNumberFormat="1" applyFont="1" applyFill="1" applyBorder="1" applyAlignment="1" applyProtection="1">
      <alignment horizontal="center" vertical="top"/>
      <protection locked="0"/>
    </xf>
    <xf numFmtId="0" fontId="27" fillId="5" borderId="14" xfId="6" applyFont="1" applyFill="1" applyBorder="1" applyAlignment="1" applyProtection="1">
      <alignment vertical="top"/>
      <protection locked="0"/>
    </xf>
    <xf numFmtId="0" fontId="28" fillId="11" borderId="0" xfId="6" applyFont="1" applyFill="1" applyAlignment="1">
      <alignment horizontal="center" vertical="center"/>
    </xf>
    <xf numFmtId="0" fontId="28" fillId="11" borderId="0" xfId="7" applyFont="1" applyFill="1" applyAlignment="1">
      <alignment horizontal="center" vertical="center"/>
    </xf>
    <xf numFmtId="0" fontId="28" fillId="11" borderId="15" xfId="8" applyFont="1" applyFill="1" applyBorder="1" applyAlignment="1" applyProtection="1">
      <alignment vertical="center"/>
      <protection locked="0"/>
    </xf>
    <xf numFmtId="0" fontId="28" fillId="11" borderId="15" xfId="6" applyFont="1" applyFill="1" applyBorder="1" applyAlignment="1">
      <alignment horizontal="center" vertical="center" wrapText="1"/>
    </xf>
    <xf numFmtId="166" fontId="28" fillId="11" borderId="0" xfId="8" applyNumberFormat="1" applyFont="1" applyFill="1" applyAlignment="1" applyProtection="1">
      <alignment horizontal="center" vertical="center" wrapText="1"/>
      <protection locked="0"/>
    </xf>
    <xf numFmtId="2" fontId="28" fillId="11" borderId="0" xfId="6" applyNumberFormat="1" applyFont="1" applyFill="1" applyAlignment="1" applyProtection="1">
      <alignment horizontal="center" vertical="center" wrapText="1"/>
      <protection locked="0"/>
    </xf>
    <xf numFmtId="0" fontId="28" fillId="11" borderId="0" xfId="6" applyFont="1" applyFill="1" applyAlignment="1">
      <alignment horizontal="center" vertical="center" wrapText="1"/>
    </xf>
    <xf numFmtId="44" fontId="30" fillId="9" borderId="0" xfId="1" applyFont="1" applyFill="1" applyAlignment="1" applyProtection="1">
      <alignment horizontal="right" vertical="top"/>
      <protection locked="0"/>
    </xf>
    <xf numFmtId="44" fontId="30" fillId="0" borderId="16" xfId="1" quotePrefix="1" applyFont="1" applyBorder="1" applyAlignment="1" applyProtection="1">
      <alignment horizontal="center" vertical="center"/>
      <protection locked="0"/>
    </xf>
    <xf numFmtId="0" fontId="11" fillId="0" borderId="19" xfId="9" applyFont="1" applyBorder="1"/>
    <xf numFmtId="0" fontId="11" fillId="0" borderId="3" xfId="9" applyFont="1" applyBorder="1"/>
    <xf numFmtId="0" fontId="11" fillId="0" borderId="20" xfId="9" applyFont="1" applyBorder="1"/>
    <xf numFmtId="0" fontId="10" fillId="0" borderId="0" xfId="10" applyFont="1" applyAlignment="1">
      <alignment horizontal="left" vertical="top"/>
    </xf>
    <xf numFmtId="0" fontId="11" fillId="0" borderId="0" xfId="9" applyFont="1"/>
    <xf numFmtId="0" fontId="11" fillId="0" borderId="7" xfId="9" applyFont="1" applyBorder="1" applyAlignment="1">
      <alignment horizontal="center" vertical="center"/>
    </xf>
    <xf numFmtId="10" fontId="11" fillId="12" borderId="7" xfId="9" applyNumberFormat="1" applyFont="1" applyFill="1" applyBorder="1" applyAlignment="1" applyProtection="1">
      <alignment horizontal="center" vertical="center"/>
      <protection locked="0"/>
    </xf>
    <xf numFmtId="4" fontId="10" fillId="0" borderId="7" xfId="9" applyNumberFormat="1" applyFont="1" applyBorder="1" applyAlignment="1">
      <alignment horizontal="center" vertical="center"/>
    </xf>
    <xf numFmtId="10" fontId="11" fillId="0" borderId="7" xfId="9" applyNumberFormat="1" applyFont="1" applyBorder="1" applyAlignment="1">
      <alignment horizontal="center" vertical="center"/>
    </xf>
    <xf numFmtId="0" fontId="11" fillId="0" borderId="7" xfId="9" applyFont="1" applyBorder="1" applyAlignment="1">
      <alignment horizontal="center" vertical="center" wrapText="1"/>
    </xf>
    <xf numFmtId="0" fontId="11" fillId="0" borderId="0" xfId="9" applyFont="1" applyAlignment="1">
      <alignment horizontal="center" vertical="center" wrapText="1"/>
    </xf>
    <xf numFmtId="10" fontId="33" fillId="0" borderId="0" xfId="9" applyNumberFormat="1" applyFont="1" applyAlignment="1">
      <alignment horizontal="center" vertical="center"/>
    </xf>
    <xf numFmtId="10" fontId="11" fillId="0" borderId="0" xfId="9" applyNumberFormat="1" applyFont="1" applyAlignment="1">
      <alignment horizontal="center" vertical="center"/>
    </xf>
    <xf numFmtId="0" fontId="11" fillId="0" borderId="0" xfId="9" applyFont="1" applyAlignment="1">
      <alignment horizontal="center" vertical="top" wrapText="1"/>
    </xf>
    <xf numFmtId="0" fontId="11" fillId="0" borderId="0" xfId="9" applyFont="1" applyAlignment="1">
      <alignment horizontal="center" vertical="top"/>
    </xf>
    <xf numFmtId="0" fontId="37" fillId="0" borderId="0" xfId="9" applyFont="1" applyAlignment="1">
      <alignment horizontal="center" vertical="top"/>
    </xf>
    <xf numFmtId="170" fontId="11" fillId="0" borderId="0" xfId="9" applyNumberFormat="1" applyFont="1"/>
    <xf numFmtId="0" fontId="10" fillId="0" borderId="3" xfId="9" applyFont="1" applyBorder="1" applyAlignment="1">
      <alignment horizontal="left"/>
    </xf>
    <xf numFmtId="0" fontId="10" fillId="0" borderId="0" xfId="10" applyFont="1" applyAlignment="1">
      <alignment horizontal="right" vertical="top"/>
    </xf>
    <xf numFmtId="10" fontId="8" fillId="0" borderId="7" xfId="9" applyNumberFormat="1" applyBorder="1" applyAlignment="1">
      <alignment horizontal="center" vertical="center"/>
    </xf>
    <xf numFmtId="10" fontId="8" fillId="0" borderId="7" xfId="9" applyNumberFormat="1" applyBorder="1" applyAlignment="1">
      <alignment horizontal="center" vertical="center" wrapText="1"/>
    </xf>
    <xf numFmtId="0" fontId="32" fillId="0" borderId="0" xfId="9" applyFont="1" applyAlignment="1">
      <alignment horizontal="left" vertical="center" wrapText="1"/>
    </xf>
    <xf numFmtId="2" fontId="34" fillId="0" borderId="0" xfId="9" applyNumberFormat="1" applyFont="1" applyAlignment="1">
      <alignment horizontal="center" vertical="center"/>
    </xf>
    <xf numFmtId="10" fontId="11" fillId="0" borderId="7" xfId="2" applyNumberFormat="1" applyFont="1" applyFill="1" applyBorder="1" applyAlignment="1">
      <alignment vertical="center"/>
    </xf>
    <xf numFmtId="0" fontId="2" fillId="0" borderId="0" xfId="0" applyFont="1"/>
    <xf numFmtId="0" fontId="10" fillId="0" borderId="0" xfId="10" applyFont="1" applyAlignment="1">
      <alignment vertical="top"/>
    </xf>
    <xf numFmtId="0" fontId="9" fillId="0" borderId="8" xfId="0" applyFont="1" applyBorder="1" applyAlignment="1">
      <alignment horizontal="center" vertical="center"/>
    </xf>
    <xf numFmtId="0" fontId="38" fillId="0" borderId="0" xfId="0" applyFont="1"/>
    <xf numFmtId="0" fontId="9" fillId="2" borderId="2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" fillId="7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44" fontId="9" fillId="0" borderId="2" xfId="1" applyFont="1" applyFill="1" applyBorder="1" applyAlignment="1" applyProtection="1">
      <alignment horizontal="left" vertical="center" wrapText="1"/>
    </xf>
    <xf numFmtId="10" fontId="4" fillId="0" borderId="0" xfId="0" applyNumberFormat="1" applyFont="1" applyAlignment="1">
      <alignment vertical="center"/>
    </xf>
    <xf numFmtId="0" fontId="5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164" fontId="7" fillId="6" borderId="9" xfId="3" applyFont="1" applyFill="1" applyBorder="1" applyAlignment="1" applyProtection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vertical="center"/>
    </xf>
    <xf numFmtId="44" fontId="10" fillId="7" borderId="9" xfId="1" applyFont="1" applyFill="1" applyBorder="1" applyAlignment="1" applyProtection="1">
      <alignment vertical="center"/>
    </xf>
    <xf numFmtId="2" fontId="11" fillId="0" borderId="9" xfId="1" applyNumberFormat="1" applyFont="1" applyFill="1" applyBorder="1" applyAlignment="1" applyProtection="1">
      <alignment horizontal="left" vertical="center" wrapText="1"/>
    </xf>
    <xf numFmtId="2" fontId="9" fillId="0" borderId="9" xfId="1" applyNumberFormat="1" applyFont="1" applyFill="1" applyBorder="1" applyAlignment="1" applyProtection="1">
      <alignment horizontal="left" vertical="center" wrapText="1"/>
    </xf>
    <xf numFmtId="2" fontId="10" fillId="7" borderId="9" xfId="1" applyNumberFormat="1" applyFont="1" applyFill="1" applyBorder="1" applyAlignment="1" applyProtection="1">
      <alignment vertical="center"/>
    </xf>
    <xf numFmtId="0" fontId="13" fillId="7" borderId="2" xfId="0" applyFont="1" applyFill="1" applyBorder="1" applyAlignment="1">
      <alignment vertical="center"/>
    </xf>
    <xf numFmtId="44" fontId="13" fillId="7" borderId="2" xfId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40" fillId="0" borderId="0" xfId="0" applyFont="1" applyAlignment="1">
      <alignment horizontal="center"/>
    </xf>
    <xf numFmtId="0" fontId="42" fillId="0" borderId="0" xfId="4" applyFont="1" applyAlignment="1">
      <alignment horizontal="right" vertical="center"/>
    </xf>
    <xf numFmtId="0" fontId="12" fillId="0" borderId="0" xfId="0" applyFont="1"/>
    <xf numFmtId="0" fontId="42" fillId="0" borderId="0" xfId="4" applyFont="1" applyAlignment="1">
      <alignment horizontal="left" vertical="center" wrapText="1"/>
    </xf>
    <xf numFmtId="2" fontId="41" fillId="0" borderId="0" xfId="0" applyNumberFormat="1" applyFont="1" applyAlignment="1">
      <alignment horizontal="right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0" fontId="43" fillId="0" borderId="0" xfId="4" applyNumberFormat="1" applyFont="1" applyAlignment="1">
      <alignment horizontal="left" vertical="center" wrapText="1"/>
    </xf>
    <xf numFmtId="165" fontId="43" fillId="0" borderId="0" xfId="4" applyNumberFormat="1" applyFont="1" applyAlignment="1">
      <alignment horizontal="left" vertical="center" wrapText="1"/>
    </xf>
    <xf numFmtId="2" fontId="43" fillId="0" borderId="0" xfId="4" applyNumberFormat="1" applyFont="1" applyAlignment="1">
      <alignment horizontal="left" vertical="center" wrapText="1"/>
    </xf>
    <xf numFmtId="0" fontId="44" fillId="10" borderId="7" xfId="4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center"/>
    </xf>
    <xf numFmtId="0" fontId="9" fillId="0" borderId="0" xfId="0" quotePrefix="1" applyFont="1"/>
    <xf numFmtId="2" fontId="13" fillId="7" borderId="9" xfId="1" applyNumberFormat="1" applyFont="1" applyFill="1" applyBorder="1" applyAlignment="1" applyProtection="1">
      <alignment vertical="center"/>
    </xf>
    <xf numFmtId="0" fontId="46" fillId="13" borderId="29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 wrapText="1"/>
    </xf>
    <xf numFmtId="49" fontId="47" fillId="13" borderId="30" xfId="0" applyNumberFormat="1" applyFont="1" applyFill="1" applyBorder="1" applyAlignment="1">
      <alignment horizontal="center" vertical="top" wrapText="1"/>
    </xf>
    <xf numFmtId="10" fontId="48" fillId="13" borderId="30" xfId="0" applyNumberFormat="1" applyFont="1" applyFill="1" applyBorder="1" applyAlignment="1">
      <alignment vertical="top" wrapText="1"/>
    </xf>
    <xf numFmtId="10" fontId="47" fillId="13" borderId="30" xfId="0" applyNumberFormat="1" applyFont="1" applyFill="1" applyBorder="1" applyAlignment="1">
      <alignment vertical="top" wrapText="1"/>
    </xf>
    <xf numFmtId="49" fontId="47" fillId="13" borderId="31" xfId="0" applyNumberFormat="1" applyFont="1" applyFill="1" applyBorder="1" applyAlignment="1">
      <alignment horizontal="center" vertical="top" wrapText="1"/>
    </xf>
    <xf numFmtId="4" fontId="47" fillId="13" borderId="31" xfId="0" applyNumberFormat="1" applyFont="1" applyFill="1" applyBorder="1" applyAlignment="1">
      <alignment vertical="top" wrapText="1"/>
    </xf>
    <xf numFmtId="49" fontId="49" fillId="13" borderId="32" xfId="0" applyNumberFormat="1" applyFont="1" applyFill="1" applyBorder="1" applyAlignment="1">
      <alignment horizontal="center" vertical="top" wrapText="1"/>
    </xf>
    <xf numFmtId="10" fontId="49" fillId="13" borderId="30" xfId="2" applyNumberFormat="1" applyFont="1" applyFill="1" applyBorder="1" applyAlignment="1">
      <alignment vertical="top" wrapText="1"/>
    </xf>
    <xf numFmtId="49" fontId="49" fillId="13" borderId="34" xfId="0" applyNumberFormat="1" applyFont="1" applyFill="1" applyBorder="1" applyAlignment="1">
      <alignment horizontal="center" vertical="top" wrapText="1"/>
    </xf>
    <xf numFmtId="172" fontId="49" fillId="13" borderId="34" xfId="0" applyNumberFormat="1" applyFont="1" applyFill="1" applyBorder="1" applyAlignment="1">
      <alignment vertical="top" wrapText="1"/>
    </xf>
    <xf numFmtId="0" fontId="0" fillId="14" borderId="1" xfId="0" applyFill="1" applyBorder="1" applyAlignment="1">
      <alignment vertical="center"/>
    </xf>
    <xf numFmtId="0" fontId="0" fillId="13" borderId="1" xfId="0" applyFill="1" applyBorder="1" applyAlignment="1">
      <alignment vertical="center" wrapText="1"/>
    </xf>
    <xf numFmtId="0" fontId="46" fillId="14" borderId="35" xfId="0" applyFont="1" applyFill="1" applyBorder="1" applyAlignment="1">
      <alignment wrapText="1"/>
    </xf>
    <xf numFmtId="0" fontId="46" fillId="14" borderId="35" xfId="0" applyFont="1" applyFill="1" applyBorder="1"/>
    <xf numFmtId="0" fontId="8" fillId="14" borderId="35" xfId="0" applyFont="1" applyFill="1" applyBorder="1"/>
    <xf numFmtId="0" fontId="25" fillId="14" borderId="35" xfId="0" applyFont="1" applyFill="1" applyBorder="1"/>
    <xf numFmtId="0" fontId="0" fillId="14" borderId="1" xfId="0" applyFill="1" applyBorder="1" applyAlignment="1">
      <alignment horizontal="center" vertical="center"/>
    </xf>
    <xf numFmtId="0" fontId="18" fillId="14" borderId="36" xfId="0" applyFont="1" applyFill="1" applyBorder="1"/>
    <xf numFmtId="0" fontId="8" fillId="14" borderId="25" xfId="0" applyFont="1" applyFill="1" applyBorder="1" applyAlignment="1">
      <alignment horizontal="center" vertical="center"/>
    </xf>
    <xf numFmtId="0" fontId="18" fillId="14" borderId="37" xfId="0" applyFont="1" applyFill="1" applyBorder="1" applyAlignment="1">
      <alignment wrapText="1"/>
    </xf>
    <xf numFmtId="0" fontId="0" fillId="14" borderId="37" xfId="0" applyFill="1" applyBorder="1"/>
    <xf numFmtId="0" fontId="0" fillId="13" borderId="35" xfId="0" applyFill="1" applyBorder="1"/>
    <xf numFmtId="0" fontId="0" fillId="13" borderId="0" xfId="0" applyFill="1"/>
    <xf numFmtId="0" fontId="0" fillId="13" borderId="0" xfId="0" applyFill="1" applyAlignment="1">
      <alignment wrapText="1"/>
    </xf>
    <xf numFmtId="0" fontId="0" fillId="13" borderId="40" xfId="0" applyFill="1" applyBorder="1"/>
    <xf numFmtId="0" fontId="8" fillId="0" borderId="44" xfId="0" applyFont="1" applyBorder="1" applyAlignment="1">
      <alignment horizontal="center" vertical="center" wrapText="1"/>
    </xf>
    <xf numFmtId="0" fontId="46" fillId="13" borderId="45" xfId="0" applyFont="1" applyFill="1" applyBorder="1" applyAlignment="1">
      <alignment horizontal="center" vertical="center"/>
    </xf>
    <xf numFmtId="0" fontId="46" fillId="13" borderId="46" xfId="0" applyFont="1" applyFill="1" applyBorder="1" applyAlignment="1">
      <alignment horizontal="center" vertical="center"/>
    </xf>
    <xf numFmtId="10" fontId="47" fillId="13" borderId="48" xfId="0" applyNumberFormat="1" applyFont="1" applyFill="1" applyBorder="1" applyAlignment="1">
      <alignment vertical="top" wrapText="1"/>
    </xf>
    <xf numFmtId="4" fontId="47" fillId="13" borderId="50" xfId="0" applyNumberFormat="1" applyFont="1" applyFill="1" applyBorder="1" applyAlignment="1">
      <alignment vertical="top" wrapText="1"/>
    </xf>
    <xf numFmtId="10" fontId="49" fillId="13" borderId="48" xfId="2" applyNumberFormat="1" applyFont="1" applyFill="1" applyBorder="1" applyAlignment="1">
      <alignment vertical="top" wrapText="1"/>
    </xf>
    <xf numFmtId="172" fontId="49" fillId="13" borderId="51" xfId="0" applyNumberFormat="1" applyFont="1" applyFill="1" applyBorder="1" applyAlignment="1">
      <alignment vertical="top" wrapText="1"/>
    </xf>
    <xf numFmtId="0" fontId="0" fillId="13" borderId="41" xfId="0" applyFill="1" applyBorder="1" applyAlignment="1">
      <alignment vertical="center"/>
    </xf>
    <xf numFmtId="0" fontId="0" fillId="14" borderId="52" xfId="0" applyFill="1" applyBorder="1" applyAlignment="1">
      <alignment vertical="center"/>
    </xf>
    <xf numFmtId="0" fontId="46" fillId="14" borderId="0" xfId="0" applyFont="1" applyFill="1" applyAlignment="1">
      <alignment wrapText="1"/>
    </xf>
    <xf numFmtId="0" fontId="46" fillId="14" borderId="40" xfId="0" applyFont="1" applyFill="1" applyBorder="1" applyAlignment="1">
      <alignment wrapText="1"/>
    </xf>
    <xf numFmtId="0" fontId="0" fillId="14" borderId="40" xfId="0" applyFill="1" applyBorder="1"/>
    <xf numFmtId="0" fontId="0" fillId="14" borderId="0" xfId="0" applyFill="1" applyAlignment="1">
      <alignment wrapText="1"/>
    </xf>
    <xf numFmtId="0" fontId="0" fillId="14" borderId="0" xfId="0" applyFill="1"/>
    <xf numFmtId="0" fontId="50" fillId="14" borderId="0" xfId="0" applyFont="1" applyFill="1" applyAlignment="1">
      <alignment horizontal="center" vertical="center" wrapText="1"/>
    </xf>
    <xf numFmtId="0" fontId="25" fillId="14" borderId="0" xfId="0" applyFont="1" applyFill="1" applyAlignment="1">
      <alignment wrapText="1"/>
    </xf>
    <xf numFmtId="0" fontId="46" fillId="14" borderId="0" xfId="0" applyFont="1" applyFill="1" applyAlignment="1">
      <alignment horizontal="right"/>
    </xf>
    <xf numFmtId="0" fontId="46" fillId="14" borderId="40" xfId="0" applyFont="1" applyFill="1" applyBorder="1" applyAlignment="1">
      <alignment horizontal="right"/>
    </xf>
    <xf numFmtId="0" fontId="0" fillId="14" borderId="53" xfId="0" applyFill="1" applyBorder="1"/>
    <xf numFmtId="0" fontId="46" fillId="13" borderId="19" xfId="0" applyFont="1" applyFill="1" applyBorder="1" applyAlignment="1">
      <alignment vertical="center" wrapText="1"/>
    </xf>
    <xf numFmtId="0" fontId="46" fillId="13" borderId="43" xfId="0" applyFont="1" applyFill="1" applyBorder="1" applyAlignment="1">
      <alignment vertical="center" wrapText="1"/>
    </xf>
    <xf numFmtId="0" fontId="46" fillId="13" borderId="20" xfId="0" applyFont="1" applyFill="1" applyBorder="1" applyAlignment="1">
      <alignment vertical="center" wrapText="1"/>
    </xf>
    <xf numFmtId="0" fontId="46" fillId="13" borderId="41" xfId="0" applyFont="1" applyFill="1" applyBorder="1" applyAlignment="1">
      <alignment vertical="center"/>
    </xf>
    <xf numFmtId="0" fontId="46" fillId="13" borderId="22" xfId="0" applyFont="1" applyFill="1" applyBorder="1" applyAlignment="1">
      <alignment vertical="center"/>
    </xf>
    <xf numFmtId="0" fontId="46" fillId="13" borderId="21" xfId="0" applyFont="1" applyFill="1" applyBorder="1" applyAlignment="1">
      <alignment horizontal="center" vertical="center"/>
    </xf>
    <xf numFmtId="171" fontId="0" fillId="0" borderId="0" xfId="0" applyNumberFormat="1"/>
    <xf numFmtId="0" fontId="52" fillId="2" borderId="2" xfId="0" applyFont="1" applyFill="1" applyBorder="1" applyAlignment="1">
      <alignment horizontal="center" vertical="center" wrapText="1"/>
    </xf>
    <xf numFmtId="14" fontId="11" fillId="0" borderId="3" xfId="9" applyNumberFormat="1" applyFont="1" applyBorder="1"/>
    <xf numFmtId="0" fontId="8" fillId="13" borderId="4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 wrapText="1"/>
    </xf>
    <xf numFmtId="44" fontId="10" fillId="8" borderId="3" xfId="0" applyNumberFormat="1" applyFont="1" applyFill="1" applyBorder="1" applyAlignment="1">
      <alignment horizontal="center" vertical="center"/>
    </xf>
    <xf numFmtId="44" fontId="10" fillId="8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8" borderId="2" xfId="0" applyFont="1" applyFill="1" applyBorder="1" applyAlignment="1">
      <alignment horizontal="right" vertical="center"/>
    </xf>
    <xf numFmtId="0" fontId="17" fillId="10" borderId="8" xfId="4" applyFont="1" applyFill="1" applyBorder="1" applyAlignment="1">
      <alignment horizontal="center" vertical="center" wrapText="1"/>
    </xf>
    <xf numFmtId="0" fontId="17" fillId="10" borderId="2" xfId="4" applyFont="1" applyFill="1" applyBorder="1" applyAlignment="1">
      <alignment horizontal="center" vertical="center" wrapText="1"/>
    </xf>
    <xf numFmtId="0" fontId="17" fillId="10" borderId="9" xfId="4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2" fillId="10" borderId="9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2" fontId="23" fillId="0" borderId="8" xfId="4" applyNumberFormat="1" applyFont="1" applyBorder="1" applyAlignment="1">
      <alignment horizontal="center" vertical="center" wrapText="1"/>
    </xf>
    <xf numFmtId="2" fontId="23" fillId="0" borderId="2" xfId="4" applyNumberFormat="1" applyFont="1" applyBorder="1" applyAlignment="1">
      <alignment horizontal="center" vertical="center" wrapText="1"/>
    </xf>
    <xf numFmtId="2" fontId="23" fillId="0" borderId="9" xfId="4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20" fillId="11" borderId="5" xfId="0" applyFont="1" applyFill="1" applyBorder="1" applyAlignment="1">
      <alignment horizontal="center"/>
    </xf>
    <xf numFmtId="0" fontId="20" fillId="11" borderId="6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 vertical="center"/>
    </xf>
    <xf numFmtId="0" fontId="25" fillId="0" borderId="10" xfId="4" applyFont="1" applyBorder="1" applyAlignment="1">
      <alignment horizontal="right" vertical="center" wrapText="1"/>
    </xf>
    <xf numFmtId="0" fontId="25" fillId="0" borderId="0" xfId="4" applyFont="1" applyAlignment="1">
      <alignment horizontal="right" vertical="center" wrapText="1"/>
    </xf>
    <xf numFmtId="0" fontId="44" fillId="10" borderId="8" xfId="4" applyFont="1" applyFill="1" applyBorder="1" applyAlignment="1">
      <alignment horizontal="center" vertical="center" wrapText="1"/>
    </xf>
    <xf numFmtId="0" fontId="44" fillId="10" borderId="2" xfId="4" applyFont="1" applyFill="1" applyBorder="1" applyAlignment="1">
      <alignment horizontal="center" vertical="center" wrapText="1"/>
    </xf>
    <xf numFmtId="0" fontId="44" fillId="10" borderId="9" xfId="4" applyFont="1" applyFill="1" applyBorder="1" applyAlignment="1">
      <alignment horizontal="center" vertical="center" wrapText="1"/>
    </xf>
    <xf numFmtId="2" fontId="51" fillId="0" borderId="8" xfId="4" applyNumberFormat="1" applyFont="1" applyBorder="1" applyAlignment="1">
      <alignment horizontal="center" vertical="center" wrapText="1"/>
    </xf>
    <xf numFmtId="2" fontId="51" fillId="0" borderId="2" xfId="4" applyNumberFormat="1" applyFont="1" applyBorder="1" applyAlignment="1">
      <alignment horizontal="center" vertical="center" wrapText="1"/>
    </xf>
    <xf numFmtId="2" fontId="51" fillId="0" borderId="9" xfId="4" applyNumberFormat="1" applyFont="1" applyBorder="1" applyAlignment="1">
      <alignment horizontal="center" vertical="center" wrapText="1"/>
    </xf>
    <xf numFmtId="0" fontId="30" fillId="0" borderId="17" xfId="8" applyFont="1" applyFill="1" applyBorder="1" applyAlignment="1" applyProtection="1">
      <alignment horizontal="left" vertical="center" wrapText="1"/>
      <protection locked="0"/>
    </xf>
    <xf numFmtId="0" fontId="30" fillId="0" borderId="16" xfId="6" applyFont="1" applyBorder="1" applyAlignment="1">
      <alignment horizontal="center" vertical="center" wrapText="1"/>
    </xf>
    <xf numFmtId="44" fontId="28" fillId="0" borderId="0" xfId="1" applyFont="1" applyAlignment="1" applyProtection="1">
      <alignment horizontal="left" vertical="top"/>
      <protection locked="0"/>
    </xf>
    <xf numFmtId="0" fontId="28" fillId="9" borderId="18" xfId="6" applyFont="1" applyFill="1" applyBorder="1" applyAlignment="1" applyProtection="1">
      <alignment horizontal="right" vertical="top"/>
      <protection locked="0"/>
    </xf>
    <xf numFmtId="0" fontId="27" fillId="5" borderId="12" xfId="6" applyFont="1" applyFill="1" applyBorder="1" applyAlignment="1" applyProtection="1">
      <alignment horizontal="left" vertical="top"/>
      <protection locked="0"/>
    </xf>
    <xf numFmtId="0" fontId="27" fillId="5" borderId="13" xfId="6" applyFont="1" applyFill="1" applyBorder="1" applyAlignment="1" applyProtection="1">
      <alignment horizontal="left" vertical="top"/>
      <protection locked="0"/>
    </xf>
    <xf numFmtId="0" fontId="27" fillId="5" borderId="12" xfId="6" applyFont="1" applyFill="1" applyBorder="1" applyAlignment="1" applyProtection="1">
      <alignment horizontal="center" vertical="top"/>
      <protection locked="0"/>
    </xf>
    <xf numFmtId="0" fontId="27" fillId="5" borderId="13" xfId="6" applyFont="1" applyFill="1" applyBorder="1" applyAlignment="1" applyProtection="1">
      <alignment horizontal="center" vertical="top"/>
      <protection locked="0"/>
    </xf>
    <xf numFmtId="0" fontId="27" fillId="5" borderId="14" xfId="6" applyFont="1" applyFill="1" applyBorder="1" applyAlignment="1" applyProtection="1">
      <alignment horizontal="center" vertical="top"/>
      <protection locked="0"/>
    </xf>
    <xf numFmtId="0" fontId="28" fillId="11" borderId="15" xfId="8" applyFont="1" applyFill="1" applyBorder="1" applyAlignment="1" applyProtection="1">
      <alignment horizontal="center" vertical="center"/>
      <protection locked="0"/>
    </xf>
    <xf numFmtId="0" fontId="28" fillId="11" borderId="15" xfId="8" applyFont="1" applyFill="1" applyBorder="1" applyAlignment="1" applyProtection="1">
      <alignment horizontal="center" vertical="center" wrapText="1"/>
      <protection locked="0"/>
    </xf>
    <xf numFmtId="0" fontId="29" fillId="11" borderId="0" xfId="6" applyFont="1" applyFill="1" applyAlignment="1">
      <alignment horizontal="center" vertical="center"/>
    </xf>
    <xf numFmtId="0" fontId="29" fillId="11" borderId="0" xfId="8" applyFont="1" applyFill="1" applyAlignment="1" applyProtection="1">
      <alignment horizontal="center" vertical="center" wrapText="1"/>
      <protection locked="0"/>
    </xf>
    <xf numFmtId="0" fontId="45" fillId="13" borderId="38" xfId="0" applyFont="1" applyFill="1" applyBorder="1" applyAlignment="1">
      <alignment horizontal="center"/>
    </xf>
    <xf numFmtId="0" fontId="45" fillId="13" borderId="27" xfId="0" applyFont="1" applyFill="1" applyBorder="1" applyAlignment="1">
      <alignment horizontal="center"/>
    </xf>
    <xf numFmtId="0" fontId="45" fillId="13" borderId="39" xfId="0" applyFont="1" applyFill="1" applyBorder="1" applyAlignment="1">
      <alignment horizontal="center"/>
    </xf>
    <xf numFmtId="0" fontId="46" fillId="13" borderId="38" xfId="0" applyFont="1" applyFill="1" applyBorder="1" applyAlignment="1">
      <alignment horizontal="center" vertical="center"/>
    </xf>
    <xf numFmtId="0" fontId="46" fillId="13" borderId="27" xfId="0" applyFont="1" applyFill="1" applyBorder="1" applyAlignment="1">
      <alignment horizontal="center" vertical="center"/>
    </xf>
    <xf numFmtId="0" fontId="46" fillId="13" borderId="39" xfId="0" applyFont="1" applyFill="1" applyBorder="1" applyAlignment="1">
      <alignment horizontal="center" vertical="center"/>
    </xf>
    <xf numFmtId="171" fontId="46" fillId="13" borderId="1" xfId="0" applyNumberFormat="1" applyFont="1" applyFill="1" applyBorder="1" applyAlignment="1">
      <alignment horizontal="left" vertical="center"/>
    </xf>
    <xf numFmtId="0" fontId="8" fillId="14" borderId="3" xfId="0" applyFont="1" applyFill="1" applyBorder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50" fillId="14" borderId="0" xfId="0" applyFont="1" applyFill="1" applyAlignment="1">
      <alignment horizontal="center" vertical="center"/>
    </xf>
    <xf numFmtId="0" fontId="46" fillId="13" borderId="25" xfId="0" applyFont="1" applyFill="1" applyBorder="1" applyAlignment="1">
      <alignment horizontal="left" vertical="center" wrapText="1"/>
    </xf>
    <xf numFmtId="0" fontId="46" fillId="13" borderId="26" xfId="0" applyFont="1" applyFill="1" applyBorder="1" applyAlignment="1">
      <alignment horizontal="left" vertical="center" wrapText="1"/>
    </xf>
    <xf numFmtId="0" fontId="0" fillId="13" borderId="47" xfId="0" applyFill="1" applyBorder="1" applyAlignment="1">
      <alignment horizontal="center" vertical="center" wrapText="1"/>
    </xf>
    <xf numFmtId="0" fontId="0" fillId="13" borderId="49" xfId="0" applyFill="1" applyBorder="1" applyAlignment="1">
      <alignment horizontal="center" vertical="center" wrapText="1"/>
    </xf>
    <xf numFmtId="44" fontId="8" fillId="13" borderId="28" xfId="0" applyNumberFormat="1" applyFont="1" applyFill="1" applyBorder="1" applyAlignment="1">
      <alignment horizontal="left" vertical="center" wrapText="1"/>
    </xf>
    <xf numFmtId="0" fontId="0" fillId="13" borderId="30" xfId="0" applyFill="1" applyBorder="1" applyAlignment="1">
      <alignment horizontal="left" vertical="center" wrapText="1"/>
    </xf>
    <xf numFmtId="0" fontId="46" fillId="13" borderId="43" xfId="0" applyFont="1" applyFill="1" applyBorder="1" applyAlignment="1">
      <alignment horizontal="center" vertical="center" wrapText="1"/>
    </xf>
    <xf numFmtId="0" fontId="46" fillId="13" borderId="20" xfId="0" applyFont="1" applyFill="1" applyBorder="1" applyAlignment="1">
      <alignment horizontal="center" vertical="center" wrapText="1"/>
    </xf>
    <xf numFmtId="0" fontId="46" fillId="13" borderId="36" xfId="0" applyFont="1" applyFill="1" applyBorder="1" applyAlignment="1">
      <alignment horizontal="center" vertical="center" wrapText="1"/>
    </xf>
    <xf numFmtId="0" fontId="46" fillId="13" borderId="33" xfId="0" applyFont="1" applyFill="1" applyBorder="1" applyAlignment="1">
      <alignment horizontal="center" vertical="center" wrapText="1"/>
    </xf>
    <xf numFmtId="0" fontId="46" fillId="14" borderId="1" xfId="0" applyFont="1" applyFill="1" applyBorder="1" applyAlignment="1">
      <alignment horizontal="center" wrapText="1"/>
    </xf>
    <xf numFmtId="0" fontId="8" fillId="13" borderId="28" xfId="0" applyFont="1" applyFill="1" applyBorder="1" applyAlignment="1">
      <alignment horizontal="left" vertical="center" wrapText="1"/>
    </xf>
    <xf numFmtId="0" fontId="20" fillId="0" borderId="8" xfId="9" applyFont="1" applyBorder="1" applyAlignment="1">
      <alignment horizontal="center" vertical="center"/>
    </xf>
    <xf numFmtId="0" fontId="20" fillId="0" borderId="2" xfId="9" applyFont="1" applyBorder="1" applyAlignment="1">
      <alignment horizontal="center" vertical="center"/>
    </xf>
    <xf numFmtId="0" fontId="20" fillId="0" borderId="9" xfId="9" applyFont="1" applyBorder="1" applyAlignment="1">
      <alignment horizontal="center" vertical="center"/>
    </xf>
    <xf numFmtId="168" fontId="11" fillId="0" borderId="0" xfId="9" applyNumberFormat="1" applyFont="1" applyAlignment="1">
      <alignment vertical="center"/>
    </xf>
    <xf numFmtId="0" fontId="11" fillId="0" borderId="3" xfId="9" applyFont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10" fillId="0" borderId="0" xfId="10" applyFont="1" applyAlignment="1">
      <alignment horizontal="left" vertical="top"/>
    </xf>
    <xf numFmtId="0" fontId="11" fillId="0" borderId="3" xfId="9" applyFont="1" applyBorder="1" applyAlignment="1">
      <alignment horizontal="center" vertical="center"/>
    </xf>
    <xf numFmtId="168" fontId="11" fillId="0" borderId="0" xfId="9" applyNumberFormat="1" applyFont="1" applyAlignment="1">
      <alignment horizontal="left" vertical="center"/>
    </xf>
    <xf numFmtId="49" fontId="11" fillId="0" borderId="0" xfId="9" applyNumberFormat="1" applyFont="1" applyAlignment="1" applyProtection="1">
      <alignment horizontal="left" vertical="top"/>
      <protection locked="0"/>
    </xf>
    <xf numFmtId="168" fontId="11" fillId="0" borderId="0" xfId="9" applyNumberFormat="1" applyFont="1" applyAlignment="1">
      <alignment horizontal="left" vertical="center" wrapText="1"/>
    </xf>
    <xf numFmtId="168" fontId="11" fillId="0" borderId="1" xfId="9" applyNumberFormat="1" applyFont="1" applyBorder="1" applyAlignment="1">
      <alignment horizontal="left"/>
    </xf>
    <xf numFmtId="169" fontId="11" fillId="0" borderId="1" xfId="9" applyNumberFormat="1" applyFont="1" applyBorder="1" applyAlignment="1">
      <alignment horizontal="left"/>
    </xf>
    <xf numFmtId="0" fontId="10" fillId="0" borderId="0" xfId="9" applyFont="1" applyAlignment="1">
      <alignment horizontal="left" vertical="center"/>
    </xf>
    <xf numFmtId="0" fontId="11" fillId="0" borderId="7" xfId="9" applyFont="1" applyBorder="1" applyAlignment="1">
      <alignment horizontal="left" vertical="center" wrapText="1"/>
    </xf>
    <xf numFmtId="0" fontId="10" fillId="0" borderId="7" xfId="9" applyFont="1" applyBorder="1" applyAlignment="1">
      <alignment horizontal="left" vertical="center" wrapText="1"/>
    </xf>
    <xf numFmtId="0" fontId="10" fillId="0" borderId="0" xfId="9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/>
    </xf>
    <xf numFmtId="0" fontId="35" fillId="0" borderId="0" xfId="0" quotePrefix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top"/>
    </xf>
    <xf numFmtId="0" fontId="11" fillId="0" borderId="7" xfId="9" applyFont="1" applyBorder="1" applyAlignment="1">
      <alignment horizontal="left" vertical="center"/>
    </xf>
    <xf numFmtId="0" fontId="10" fillId="0" borderId="23" xfId="10" applyFont="1" applyBorder="1" applyAlignment="1">
      <alignment horizontal="left" vertical="top"/>
    </xf>
    <xf numFmtId="0" fontId="10" fillId="0" borderId="23" xfId="10" applyFont="1" applyBorder="1" applyAlignment="1">
      <alignment horizontal="center" vertical="center"/>
    </xf>
    <xf numFmtId="0" fontId="10" fillId="0" borderId="24" xfId="10" applyFont="1" applyBorder="1" applyAlignment="1">
      <alignment horizontal="center" vertical="center"/>
    </xf>
    <xf numFmtId="167" fontId="8" fillId="12" borderId="21" xfId="11" applyFont="1" applyFill="1" applyBorder="1" applyAlignment="1" applyProtection="1">
      <alignment horizontal="left"/>
      <protection locked="0"/>
    </xf>
    <xf numFmtId="167" fontId="8" fillId="12" borderId="1" xfId="11" applyFont="1" applyFill="1" applyBorder="1" applyAlignment="1" applyProtection="1">
      <alignment horizontal="left"/>
      <protection locked="0"/>
    </xf>
    <xf numFmtId="167" fontId="8" fillId="12" borderId="22" xfId="11" applyFont="1" applyFill="1" applyBorder="1" applyAlignment="1" applyProtection="1">
      <alignment horizontal="left"/>
      <protection locked="0"/>
    </xf>
    <xf numFmtId="0" fontId="11" fillId="0" borderId="21" xfId="9" applyFont="1" applyBorder="1" applyAlignment="1">
      <alignment horizontal="center" vertical="center" wrapText="1"/>
    </xf>
    <xf numFmtId="0" fontId="11" fillId="0" borderId="22" xfId="9" applyFont="1" applyBorder="1" applyAlignment="1">
      <alignment horizontal="center" vertical="center" wrapText="1"/>
    </xf>
    <xf numFmtId="0" fontId="11" fillId="0" borderId="7" xfId="9" applyFont="1" applyBorder="1" applyAlignment="1">
      <alignment horizontal="left" wrapText="1"/>
    </xf>
    <xf numFmtId="10" fontId="11" fillId="12" borderId="7" xfId="9" applyNumberFormat="1" applyFont="1" applyFill="1" applyBorder="1" applyAlignment="1" applyProtection="1">
      <alignment horizontal="center"/>
      <protection locked="0"/>
    </xf>
    <xf numFmtId="0" fontId="11" fillId="0" borderId="7" xfId="9" applyFont="1" applyBorder="1" applyAlignment="1">
      <alignment horizontal="left"/>
    </xf>
    <xf numFmtId="0" fontId="10" fillId="0" borderId="7" xfId="9" applyFont="1" applyBorder="1" applyAlignment="1">
      <alignment horizontal="center" vertical="center"/>
    </xf>
    <xf numFmtId="4" fontId="10" fillId="0" borderId="7" xfId="9" applyNumberFormat="1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</cellXfs>
  <cellStyles count="12">
    <cellStyle name="Moeda" xfId="1" builtinId="4"/>
    <cellStyle name="Moeda_Composicao BDI v2.1" xfId="11" xr:uid="{2111B63C-5316-45E4-8613-A8C78FEBBE48}"/>
    <cellStyle name="Moeda_Planilha Hulha Negra" xfId="3" xr:uid="{C24C5267-B57B-44A1-AC32-6F07F3A57DB1}"/>
    <cellStyle name="Normal" xfId="0" builtinId="0"/>
    <cellStyle name="Normal 10" xfId="8" xr:uid="{1B85C18B-22DD-4522-9224-36189B268187}"/>
    <cellStyle name="Normal 2" xfId="9" xr:uid="{44C8820A-41E8-4637-8B92-2D473798EC20}"/>
    <cellStyle name="Normal 3" xfId="4" xr:uid="{3682F206-D453-4C6D-9E28-674F2ABB0A6E}"/>
    <cellStyle name="Normal 6" xfId="7" xr:uid="{9845A7A7-F0F9-4095-B855-EF0CDBE3281B}"/>
    <cellStyle name="Normal 7" xfId="5" xr:uid="{A1071773-8AD5-458D-B8BE-B6D9C7C17C2E}"/>
    <cellStyle name="Normal 8" xfId="6" xr:uid="{16E445F4-050E-49EC-94EC-473E9DB89059}"/>
    <cellStyle name="Normal_FICHA DE VERIFICAÇÃO PRELIMINAR - Plano R" xfId="10" xr:uid="{8B50B9AE-3CE4-4723-B447-FE978F5FFB7E}"/>
    <cellStyle name="Porcentagem" xfId="2" builtinId="5"/>
  </cellStyles>
  <dxfs count="5">
    <dxf>
      <fill>
        <patternFill>
          <bgColor rgb="FFFFFF9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25</xdr:row>
      <xdr:rowOff>104775</xdr:rowOff>
    </xdr:from>
    <xdr:ext cx="3362325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693B17AE-6982-481D-86F3-C25F524810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1650" y="5800725"/>
          <a:ext cx="3362325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F50E-EEC7-4FA4-ABF8-7F54728DB1F0}">
  <dimension ref="A1:I64"/>
  <sheetViews>
    <sheetView tabSelected="1" view="pageBreakPreview" zoomScale="115" zoomScaleNormal="70" zoomScaleSheetLayoutView="115" workbookViewId="0">
      <selection activeCell="A22" sqref="A22:I61"/>
    </sheetView>
  </sheetViews>
  <sheetFormatPr defaultRowHeight="14.4" x14ac:dyDescent="0.3"/>
  <cols>
    <col min="1" max="1" width="10.6640625" customWidth="1"/>
    <col min="2" max="2" width="17" customWidth="1"/>
    <col min="3" max="3" width="12.44140625" customWidth="1"/>
    <col min="4" max="4" width="39.33203125" customWidth="1"/>
    <col min="5" max="5" width="6.33203125" customWidth="1"/>
    <col min="6" max="6" width="13.21875" style="99" customWidth="1"/>
    <col min="7" max="7" width="16.21875" customWidth="1"/>
    <col min="8" max="8" width="19" customWidth="1"/>
    <col min="9" max="9" width="10.21875" customWidth="1"/>
  </cols>
  <sheetData>
    <row r="1" spans="1:9" ht="30" x14ac:dyDescent="0.3">
      <c r="A1" s="196" t="s">
        <v>0</v>
      </c>
      <c r="B1" s="196"/>
      <c r="C1" s="196"/>
      <c r="D1" s="196"/>
      <c r="E1" s="196"/>
      <c r="F1" s="196"/>
      <c r="G1" s="196"/>
      <c r="H1" s="196"/>
      <c r="I1" s="196"/>
    </row>
    <row r="2" spans="1:9" ht="17.399999999999999" x14ac:dyDescent="0.3">
      <c r="A2" s="5" t="s">
        <v>141</v>
      </c>
      <c r="B2" s="5"/>
      <c r="C2" s="1" t="s">
        <v>142</v>
      </c>
      <c r="D2" s="4"/>
      <c r="E2" s="4"/>
      <c r="F2" s="101"/>
      <c r="G2" s="4"/>
      <c r="H2" s="4"/>
      <c r="I2" s="4"/>
    </row>
    <row r="3" spans="1:9" ht="15.6" x14ac:dyDescent="0.3">
      <c r="A3" s="5" t="s">
        <v>143</v>
      </c>
      <c r="B3" s="5"/>
      <c r="C3" s="5" t="s">
        <v>144</v>
      </c>
      <c r="D3" s="2"/>
      <c r="E3" s="1"/>
      <c r="F3" s="102"/>
      <c r="G3" s="1"/>
      <c r="H3" s="3"/>
      <c r="I3" s="3"/>
    </row>
    <row r="4" spans="1:9" ht="15.6" x14ac:dyDescent="0.3">
      <c r="A4" s="5" t="s">
        <v>145</v>
      </c>
      <c r="B4" s="5"/>
      <c r="C4" s="1" t="s">
        <v>222</v>
      </c>
      <c r="D4" s="2"/>
      <c r="E4" s="1"/>
      <c r="F4" s="102"/>
      <c r="G4" s="1"/>
      <c r="H4" s="3"/>
      <c r="I4" s="3"/>
    </row>
    <row r="5" spans="1:9" ht="15.6" x14ac:dyDescent="0.3">
      <c r="A5" s="197" t="s">
        <v>138</v>
      </c>
      <c r="B5" s="197"/>
      <c r="C5" s="1"/>
      <c r="D5" s="2"/>
      <c r="E5" s="1"/>
      <c r="F5" s="102"/>
      <c r="G5" s="1"/>
      <c r="H5" s="3"/>
      <c r="I5" s="3"/>
    </row>
    <row r="6" spans="1:9" ht="15.6" x14ac:dyDescent="0.3">
      <c r="A6" s="5" t="s">
        <v>230</v>
      </c>
      <c r="B6" s="5"/>
      <c r="C6" s="1"/>
      <c r="D6" s="2"/>
      <c r="E6" s="5" t="s">
        <v>1</v>
      </c>
      <c r="F6" s="107">
        <f>BDI!F22</f>
        <v>0.2135</v>
      </c>
      <c r="G6" s="1"/>
      <c r="H6" s="3"/>
      <c r="I6" s="3"/>
    </row>
    <row r="7" spans="1:9" ht="27.6" x14ac:dyDescent="0.3">
      <c r="A7" s="16" t="s">
        <v>2</v>
      </c>
      <c r="B7" s="17" t="s">
        <v>3</v>
      </c>
      <c r="C7" s="17" t="s">
        <v>4</v>
      </c>
      <c r="D7" s="16" t="s">
        <v>5</v>
      </c>
      <c r="E7" s="18" t="s">
        <v>6</v>
      </c>
      <c r="F7" s="19" t="s">
        <v>7</v>
      </c>
      <c r="G7" s="19" t="s">
        <v>8</v>
      </c>
      <c r="H7" s="18" t="s">
        <v>9</v>
      </c>
      <c r="I7" s="18" t="s">
        <v>10</v>
      </c>
    </row>
    <row r="8" spans="1:9" x14ac:dyDescent="0.3">
      <c r="A8" s="20">
        <f>'MEMORIA DE CALCULO'!A8</f>
        <v>1</v>
      </c>
      <c r="B8" s="21"/>
      <c r="C8" s="21"/>
      <c r="D8" s="22" t="s">
        <v>22</v>
      </c>
      <c r="E8" s="21"/>
      <c r="F8" s="103"/>
      <c r="G8" s="21"/>
      <c r="H8" s="23">
        <f>ROUND(SUM(H9:H10),2)</f>
        <v>7301.62</v>
      </c>
      <c r="I8" s="24">
        <f>H8/$H$59</f>
        <v>1.8838388069370052E-2</v>
      </c>
    </row>
    <row r="9" spans="1:9" ht="41.4" x14ac:dyDescent="0.3">
      <c r="A9" s="6" t="str">
        <f>'MEMORIA DE CALCULO'!A9</f>
        <v>1.1</v>
      </c>
      <c r="B9" s="9" t="s">
        <v>11</v>
      </c>
      <c r="C9" s="9" t="str">
        <f>'MEMORIA DE CALCULO'!C9</f>
        <v xml:space="preserve"> 103689 </v>
      </c>
      <c r="D9" s="7" t="str">
        <f>'MEMORIA DE CALCULO'!D9</f>
        <v>Fornecimento e instalação de placa de obra com chapa galvanizada e estrutura de madeira</v>
      </c>
      <c r="E9" s="6" t="s">
        <v>29</v>
      </c>
      <c r="F9" s="8">
        <f>'MEMORIA DE CALCULO'!F9</f>
        <v>4.5</v>
      </c>
      <c r="G9" s="10">
        <f>307.77</f>
        <v>307.77</v>
      </c>
      <c r="H9" s="11">
        <f>ROUND(F9*G9,2)</f>
        <v>1384.97</v>
      </c>
      <c r="I9" s="12">
        <f>H9/$H$59</f>
        <v>3.5732621424335209E-3</v>
      </c>
    </row>
    <row r="10" spans="1:9" x14ac:dyDescent="0.3">
      <c r="A10" s="6" t="str">
        <f>'MEMORIA DE CALCULO'!A10</f>
        <v>1.2</v>
      </c>
      <c r="B10" s="13" t="s">
        <v>13</v>
      </c>
      <c r="C10" s="9" t="str">
        <f>'MEMORIA DE CALCULO'!C10</f>
        <v>01</v>
      </c>
      <c r="D10" s="7" t="str">
        <f>'MEMORIA DE CALCULO'!D10</f>
        <v>Mobilização de equipamentos</v>
      </c>
      <c r="E10" s="6" t="s">
        <v>30</v>
      </c>
      <c r="F10" s="8">
        <v>1</v>
      </c>
      <c r="G10" s="10">
        <f>'COMP. MOB-DESM'!O9</f>
        <v>5916.6517900000008</v>
      </c>
      <c r="H10" s="11">
        <f t="shared" ref="H10" si="0">ROUND(F10*G10,2)</f>
        <v>5916.65</v>
      </c>
      <c r="I10" s="12">
        <f>H10/$H$59</f>
        <v>1.5265125926936532E-2</v>
      </c>
    </row>
    <row r="11" spans="1:9" x14ac:dyDescent="0.3">
      <c r="A11" s="20">
        <f>'MEMORIA DE CALCULO'!A11</f>
        <v>2</v>
      </c>
      <c r="B11" s="21"/>
      <c r="C11" s="21"/>
      <c r="D11" s="22" t="s">
        <v>168</v>
      </c>
      <c r="E11" s="21"/>
      <c r="F11" s="119"/>
      <c r="G11" s="21"/>
      <c r="H11" s="23">
        <f>ROUND(H12,2)</f>
        <v>18457.599999999999</v>
      </c>
      <c r="I11" s="24">
        <f>H11/$H$59</f>
        <v>4.762113498500397E-2</v>
      </c>
    </row>
    <row r="12" spans="1:9" ht="27.6" x14ac:dyDescent="0.3">
      <c r="A12" s="6" t="str">
        <f>'MEMORIA DE CALCULO'!A12</f>
        <v>2.1</v>
      </c>
      <c r="B12" s="100" t="s">
        <v>11</v>
      </c>
      <c r="C12" s="9" t="str">
        <f>'MEMORIA DE CALCULO'!C12</f>
        <v>100305</v>
      </c>
      <c r="D12" s="7" t="str">
        <f>'MEMORIA DE CALCULO'!D12</f>
        <v>Engenheiro civil de obra junior com encargos complementares</v>
      </c>
      <c r="E12" s="6" t="s">
        <v>227</v>
      </c>
      <c r="F12" s="8">
        <f>'MEMORIA DE CALCULO'!F12</f>
        <v>160</v>
      </c>
      <c r="G12" s="10">
        <v>115.36</v>
      </c>
      <c r="H12" s="11">
        <f>ROUND(F12*G12,2)</f>
        <v>18457.599999999999</v>
      </c>
      <c r="I12" s="12">
        <f>H12/$H$59</f>
        <v>4.762113498500397E-2</v>
      </c>
    </row>
    <row r="13" spans="1:9" ht="15" customHeight="1" x14ac:dyDescent="0.3">
      <c r="A13" s="193" t="s">
        <v>169</v>
      </c>
      <c r="B13" s="193"/>
      <c r="C13" s="193"/>
      <c r="D13" s="193"/>
      <c r="E13" s="193"/>
      <c r="F13" s="193"/>
      <c r="G13" s="193"/>
      <c r="H13" s="193"/>
      <c r="I13" s="193"/>
    </row>
    <row r="14" spans="1:9" x14ac:dyDescent="0.3">
      <c r="A14" s="20">
        <f>'MEMORIA DE CALCULO'!A14</f>
        <v>3</v>
      </c>
      <c r="B14" s="20"/>
      <c r="C14" s="20"/>
      <c r="D14" s="22" t="s">
        <v>24</v>
      </c>
      <c r="E14" s="21"/>
      <c r="F14" s="104"/>
      <c r="G14" s="21"/>
      <c r="H14" s="23">
        <f>H15+H16</f>
        <v>244</v>
      </c>
      <c r="I14" s="24">
        <f t="shared" ref="I14:I21" si="1">H14/$H$59</f>
        <v>6.2952696647131643E-4</v>
      </c>
    </row>
    <row r="15" spans="1:9" ht="41.4" x14ac:dyDescent="0.3">
      <c r="A15" s="14" t="str">
        <f>'MEMORIA DE CALCULO'!A15</f>
        <v>3.1</v>
      </c>
      <c r="B15" s="9" t="s">
        <v>16</v>
      </c>
      <c r="C15" s="9" t="str">
        <f>'MEMORIA DE CALCULO'!C15</f>
        <v xml:space="preserve"> 5501700 </v>
      </c>
      <c r="D15" s="7" t="str">
        <f>'MEMORIA DE CALCULO'!D15</f>
        <v>Desmatamento, destocamento, limpeza de área e estocagem do material de limpeza com árvores de diâmetro até 0,15 m</v>
      </c>
      <c r="E15" s="14" t="s">
        <v>29</v>
      </c>
      <c r="F15" s="8">
        <f>'MEMORIA DE CALCULO'!F15</f>
        <v>400</v>
      </c>
      <c r="G15" s="10">
        <v>0.51</v>
      </c>
      <c r="H15" s="11">
        <f t="shared" ref="H15:H16" si="2">ROUND(F15*G15,2)</f>
        <v>204</v>
      </c>
      <c r="I15" s="12">
        <f t="shared" si="1"/>
        <v>5.2632582442683833E-4</v>
      </c>
    </row>
    <row r="16" spans="1:9" x14ac:dyDescent="0.3">
      <c r="A16" s="14" t="str">
        <f>'MEMORIA DE CALCULO'!A16</f>
        <v>3.2</v>
      </c>
      <c r="B16" s="105" t="s">
        <v>16</v>
      </c>
      <c r="C16" s="9">
        <f>'MEMORIA DE CALCULO'!C16</f>
        <v>4915598</v>
      </c>
      <c r="D16" s="7" t="str">
        <f>'MEMORIA DE CALCULO'!D16</f>
        <v>Reconformação da plataforma</v>
      </c>
      <c r="E16" s="14" t="s">
        <v>29</v>
      </c>
      <c r="F16" s="8">
        <f>'MEMORIA DE CALCULO'!F16</f>
        <v>400</v>
      </c>
      <c r="G16" s="106">
        <v>0.1</v>
      </c>
      <c r="H16" s="11">
        <f t="shared" si="2"/>
        <v>40</v>
      </c>
      <c r="I16" s="12">
        <f t="shared" si="1"/>
        <v>1.032011420444781E-4</v>
      </c>
    </row>
    <row r="17" spans="1:9" x14ac:dyDescent="0.3">
      <c r="A17" s="20">
        <f>'MEMORIA DE CALCULO'!A17</f>
        <v>4</v>
      </c>
      <c r="B17" s="25"/>
      <c r="C17" s="25"/>
      <c r="D17" s="23" t="s">
        <v>27</v>
      </c>
      <c r="E17" s="23"/>
      <c r="F17" s="120"/>
      <c r="G17" s="23"/>
      <c r="H17" s="23">
        <f>H18+H19+H20+H21</f>
        <v>34038.590000000004</v>
      </c>
      <c r="I17" s="24">
        <f t="shared" si="1"/>
        <v>8.7820534039593806E-2</v>
      </c>
    </row>
    <row r="18" spans="1:9" x14ac:dyDescent="0.3">
      <c r="A18" s="14" t="str">
        <f>'MEMORIA DE CALCULO'!A18</f>
        <v>4.1</v>
      </c>
      <c r="B18" s="9" t="s">
        <v>16</v>
      </c>
      <c r="C18" s="9" t="str">
        <f>'MEMORIA DE CALCULO'!C18</f>
        <v xml:space="preserve"> 5502985 </v>
      </c>
      <c r="D18" s="7" t="str">
        <f>'MEMORIA DE CALCULO'!D18</f>
        <v>Limpeza mecanizada da camada vegetal</v>
      </c>
      <c r="E18" s="14" t="s">
        <v>29</v>
      </c>
      <c r="F18" s="8">
        <f>'MEMORIA DE CALCULO'!F18</f>
        <v>1300</v>
      </c>
      <c r="G18" s="10">
        <v>0.45</v>
      </c>
      <c r="H18" s="11">
        <f t="shared" ref="H18:H21" si="3">ROUND(F18*G18,2)</f>
        <v>585</v>
      </c>
      <c r="I18" s="12">
        <f t="shared" si="1"/>
        <v>1.5093167024004921E-3</v>
      </c>
    </row>
    <row r="19" spans="1:9" ht="27.6" x14ac:dyDescent="0.3">
      <c r="A19" s="14" t="str">
        <f>'MEMORIA DE CALCULO'!A19</f>
        <v>4.2</v>
      </c>
      <c r="B19" s="9" t="s">
        <v>16</v>
      </c>
      <c r="C19" s="9">
        <f>'MEMORIA DE CALCULO'!C19</f>
        <v>4015612</v>
      </c>
      <c r="D19" s="7" t="str">
        <f>'MEMORIA DE CALCULO'!D19</f>
        <v>Execução de revestimento primário com material de jazida</v>
      </c>
      <c r="E19" s="14" t="s">
        <v>31</v>
      </c>
      <c r="F19" s="8">
        <f>'MEMORIA DE CALCULO'!F19</f>
        <v>195</v>
      </c>
      <c r="G19" s="10">
        <v>11.28</v>
      </c>
      <c r="H19" s="11">
        <f t="shared" si="3"/>
        <v>2199.6</v>
      </c>
      <c r="I19" s="12">
        <f t="shared" si="1"/>
        <v>5.67503080102585E-3</v>
      </c>
    </row>
    <row r="20" spans="1:9" ht="27.6" x14ac:dyDescent="0.3">
      <c r="A20" s="14" t="str">
        <f>'MEMORIA DE CALCULO'!A20</f>
        <v>4.3</v>
      </c>
      <c r="B20" s="9" t="s">
        <v>16</v>
      </c>
      <c r="C20" s="9" t="str">
        <f>'MEMORIA DE CALCULO'!C20</f>
        <v xml:space="preserve"> 5914374 </v>
      </c>
      <c r="D20" s="15" t="str">
        <f>'MEMORIA DE CALCULO'!D20</f>
        <v>Transporte com caminhão basculante de 10 m³ - rodovia em revestimento primário</v>
      </c>
      <c r="E20" s="14" t="s">
        <v>32</v>
      </c>
      <c r="F20" s="8">
        <f>'MEMORIA DE CALCULO'!F20</f>
        <v>34119.93</v>
      </c>
      <c r="G20" s="10">
        <v>0.89</v>
      </c>
      <c r="H20" s="11">
        <f t="shared" si="3"/>
        <v>30366.74</v>
      </c>
      <c r="I20" s="12">
        <f t="shared" si="1"/>
        <v>7.8347056204193369E-2</v>
      </c>
    </row>
    <row r="21" spans="1:9" ht="27.6" x14ac:dyDescent="0.3">
      <c r="A21" s="14" t="str">
        <f>'MEMORIA DE CALCULO'!A21</f>
        <v>4.4</v>
      </c>
      <c r="B21" s="105" t="s">
        <v>11</v>
      </c>
      <c r="C21" s="9">
        <f>'MEMORIA DE CALCULO'!C21</f>
        <v>5502978</v>
      </c>
      <c r="D21" s="7" t="str">
        <f>'MEMORIA DE CALCULO'!D21</f>
        <v>Compactação de aterros a 100% do Proctor normal</v>
      </c>
      <c r="E21" s="14" t="s">
        <v>31</v>
      </c>
      <c r="F21" s="8">
        <f>'MEMORIA DE CALCULO'!F21</f>
        <v>195</v>
      </c>
      <c r="G21" s="106">
        <v>4.55</v>
      </c>
      <c r="H21" s="11">
        <f t="shared" si="3"/>
        <v>887.25</v>
      </c>
      <c r="I21" s="12">
        <f t="shared" si="1"/>
        <v>2.2891303319740796E-3</v>
      </c>
    </row>
    <row r="22" spans="1:9" ht="15" customHeight="1" x14ac:dyDescent="0.3">
      <c r="A22" s="193" t="s">
        <v>183</v>
      </c>
      <c r="B22" s="193"/>
      <c r="C22" s="193"/>
      <c r="D22" s="193"/>
      <c r="E22" s="193"/>
      <c r="F22" s="193"/>
      <c r="G22" s="193"/>
      <c r="H22" s="193"/>
      <c r="I22" s="193"/>
    </row>
    <row r="23" spans="1:9" x14ac:dyDescent="0.3">
      <c r="A23" s="20">
        <f>'MEMORIA DE CALCULO'!A23</f>
        <v>5</v>
      </c>
      <c r="B23" s="20"/>
      <c r="C23" s="20"/>
      <c r="D23" s="22" t="s">
        <v>24</v>
      </c>
      <c r="E23" s="21"/>
      <c r="F23" s="104"/>
      <c r="G23" s="21"/>
      <c r="H23" s="23">
        <f>H24+H25</f>
        <v>488</v>
      </c>
      <c r="I23" s="24">
        <f t="shared" ref="I23:I31" si="4">H23/$H$59</f>
        <v>1.2590539329426329E-3</v>
      </c>
    </row>
    <row r="24" spans="1:9" ht="41.4" x14ac:dyDescent="0.3">
      <c r="A24" s="14" t="str">
        <f>'MEMORIA DE CALCULO'!A24</f>
        <v>5.1</v>
      </c>
      <c r="B24" s="9" t="s">
        <v>16</v>
      </c>
      <c r="C24" s="9" t="str">
        <f>'MEMORIA DE CALCULO'!C24</f>
        <v xml:space="preserve"> 5501700 </v>
      </c>
      <c r="D24" s="7" t="s">
        <v>26</v>
      </c>
      <c r="E24" s="14" t="s">
        <v>29</v>
      </c>
      <c r="F24" s="127">
        <f>'MEMORIA DE CALCULO'!F24</f>
        <v>800</v>
      </c>
      <c r="G24" s="10">
        <v>0.51</v>
      </c>
      <c r="H24" s="11">
        <f t="shared" ref="H24:H25" si="5">ROUND(F24*G24,2)</f>
        <v>408</v>
      </c>
      <c r="I24" s="12">
        <f t="shared" si="4"/>
        <v>1.0526516488536767E-3</v>
      </c>
    </row>
    <row r="25" spans="1:9" x14ac:dyDescent="0.3">
      <c r="A25" s="14" t="str">
        <f>'MEMORIA DE CALCULO'!A25</f>
        <v>3.4</v>
      </c>
      <c r="B25" s="105" t="s">
        <v>16</v>
      </c>
      <c r="C25" s="9">
        <f>'MEMORIA DE CALCULO'!C25</f>
        <v>4915598</v>
      </c>
      <c r="D25" s="7" t="s">
        <v>136</v>
      </c>
      <c r="E25" s="14" t="s">
        <v>29</v>
      </c>
      <c r="F25" s="127">
        <f>'MEMORIA DE CALCULO'!F25</f>
        <v>800</v>
      </c>
      <c r="G25" s="106">
        <v>0.1</v>
      </c>
      <c r="H25" s="11">
        <f t="shared" si="5"/>
        <v>80</v>
      </c>
      <c r="I25" s="12">
        <f t="shared" si="4"/>
        <v>2.064022840889562E-4</v>
      </c>
    </row>
    <row r="26" spans="1:9" x14ac:dyDescent="0.3">
      <c r="A26" s="20">
        <f>'MEMORIA DE CALCULO'!A26</f>
        <v>6</v>
      </c>
      <c r="B26" s="25"/>
      <c r="C26" s="25"/>
      <c r="D26" s="23" t="s">
        <v>27</v>
      </c>
      <c r="E26" s="23"/>
      <c r="F26" s="23"/>
      <c r="G26" s="23"/>
      <c r="H26" s="23">
        <f>H27+H28+H29+H30+H31</f>
        <v>55486.460000000006</v>
      </c>
      <c r="I26" s="24">
        <f t="shared" si="4"/>
        <v>0.14315665100013131</v>
      </c>
    </row>
    <row r="27" spans="1:9" x14ac:dyDescent="0.3">
      <c r="A27" s="14" t="str">
        <f>'MEMORIA DE CALCULO'!A27</f>
        <v>6.1</v>
      </c>
      <c r="B27" s="9" t="s">
        <v>16</v>
      </c>
      <c r="C27" s="9" t="str">
        <f>'MEMORIA DE CALCULO'!C27</f>
        <v xml:space="preserve"> 5502985 </v>
      </c>
      <c r="D27" s="7" t="s">
        <v>28</v>
      </c>
      <c r="E27" s="14" t="s">
        <v>29</v>
      </c>
      <c r="F27" s="127">
        <f>'MEMORIA DE CALCULO'!F27</f>
        <v>2200</v>
      </c>
      <c r="G27" s="10">
        <v>0.45</v>
      </c>
      <c r="H27" s="11">
        <f t="shared" ref="H27:H31" si="6">ROUND(F27*G27,2)</f>
        <v>990</v>
      </c>
      <c r="I27" s="12">
        <f t="shared" si="4"/>
        <v>2.554228265600833E-3</v>
      </c>
    </row>
    <row r="28" spans="1:9" x14ac:dyDescent="0.3">
      <c r="A28" s="14" t="str">
        <f>'MEMORIA DE CALCULO'!A28</f>
        <v>6.2</v>
      </c>
      <c r="B28" s="9" t="s">
        <v>16</v>
      </c>
      <c r="C28" s="9">
        <f>'MEMORIA DE CALCULO'!C28</f>
        <v>4915709</v>
      </c>
      <c r="D28" s="7" t="s">
        <v>171</v>
      </c>
      <c r="E28" s="14" t="s">
        <v>49</v>
      </c>
      <c r="F28" s="127">
        <f>'MEMORIA DE CALCULO'!F28</f>
        <v>80</v>
      </c>
      <c r="G28" s="10">
        <v>0.98</v>
      </c>
      <c r="H28" s="11">
        <f t="shared" si="6"/>
        <v>78.400000000000006</v>
      </c>
      <c r="I28" s="12">
        <f t="shared" si="4"/>
        <v>2.0227423840717709E-4</v>
      </c>
    </row>
    <row r="29" spans="1:9" ht="27.6" x14ac:dyDescent="0.3">
      <c r="A29" s="14" t="str">
        <f>'MEMORIA DE CALCULO'!A29</f>
        <v>6.3</v>
      </c>
      <c r="B29" s="9" t="s">
        <v>16</v>
      </c>
      <c r="C29" s="9">
        <f>'MEMORIA DE CALCULO'!C29</f>
        <v>4015612</v>
      </c>
      <c r="D29" s="7" t="s">
        <v>137</v>
      </c>
      <c r="E29" s="14" t="s">
        <v>31</v>
      </c>
      <c r="F29" s="127">
        <f>'MEMORIA DE CALCULO'!F29</f>
        <v>330</v>
      </c>
      <c r="G29" s="10">
        <v>11.28</v>
      </c>
      <c r="H29" s="11">
        <f t="shared" si="6"/>
        <v>3722.4</v>
      </c>
      <c r="I29" s="12">
        <f t="shared" si="4"/>
        <v>9.6038982786591318E-3</v>
      </c>
    </row>
    <row r="30" spans="1:9" ht="27.6" x14ac:dyDescent="0.3">
      <c r="A30" s="14" t="str">
        <f>'MEMORIA DE CALCULO'!A30</f>
        <v>6.4</v>
      </c>
      <c r="B30" s="9" t="s">
        <v>16</v>
      </c>
      <c r="C30" s="9" t="str">
        <f>'MEMORIA DE CALCULO'!C30</f>
        <v xml:space="preserve"> 5914374 </v>
      </c>
      <c r="D30" s="15" t="s">
        <v>25</v>
      </c>
      <c r="E30" s="14" t="s">
        <v>32</v>
      </c>
      <c r="F30" s="127">
        <f>'MEMORIA DE CALCULO'!F30</f>
        <v>55274.34</v>
      </c>
      <c r="G30" s="10">
        <v>0.89</v>
      </c>
      <c r="H30" s="11">
        <f t="shared" si="6"/>
        <v>49194.16</v>
      </c>
      <c r="I30" s="12">
        <f t="shared" si="4"/>
        <v>0.12692233734796957</v>
      </c>
    </row>
    <row r="31" spans="1:9" ht="27.6" x14ac:dyDescent="0.3">
      <c r="A31" s="14" t="str">
        <f>'MEMORIA DE CALCULO'!A31</f>
        <v>6.5</v>
      </c>
      <c r="B31" s="105" t="s">
        <v>11</v>
      </c>
      <c r="C31" s="9">
        <f>'MEMORIA DE CALCULO'!C31</f>
        <v>5502978</v>
      </c>
      <c r="D31" s="7" t="str">
        <f>'MEMORIA DE CALCULO'!D31</f>
        <v>Compactação de aterros a 100% do Proctor normal</v>
      </c>
      <c r="E31" s="14" t="s">
        <v>31</v>
      </c>
      <c r="F31" s="127">
        <f>'MEMORIA DE CALCULO'!F31</f>
        <v>330</v>
      </c>
      <c r="G31" s="106">
        <v>4.55</v>
      </c>
      <c r="H31" s="11">
        <f t="shared" si="6"/>
        <v>1501.5</v>
      </c>
      <c r="I31" s="12">
        <f t="shared" si="4"/>
        <v>3.8739128694945967E-3</v>
      </c>
    </row>
    <row r="32" spans="1:9" ht="15" customHeight="1" x14ac:dyDescent="0.3">
      <c r="A32" s="193" t="s">
        <v>184</v>
      </c>
      <c r="B32" s="193"/>
      <c r="C32" s="193"/>
      <c r="D32" s="193"/>
      <c r="E32" s="193"/>
      <c r="F32" s="193"/>
      <c r="G32" s="193"/>
      <c r="H32" s="193"/>
      <c r="I32" s="193"/>
    </row>
    <row r="33" spans="1:9" x14ac:dyDescent="0.3">
      <c r="A33" s="20">
        <f>'MEMORIA DE CALCULO'!A33</f>
        <v>7</v>
      </c>
      <c r="B33" s="20"/>
      <c r="C33" s="20"/>
      <c r="D33" s="22" t="s">
        <v>24</v>
      </c>
      <c r="E33" s="21"/>
      <c r="F33" s="104"/>
      <c r="G33" s="21"/>
      <c r="H33" s="23">
        <f>H34+H35</f>
        <v>366</v>
      </c>
      <c r="I33" s="24">
        <f t="shared" ref="I33:I40" si="7">H33/$H$59</f>
        <v>9.4429044970697454E-4</v>
      </c>
    </row>
    <row r="34" spans="1:9" ht="41.4" x14ac:dyDescent="0.3">
      <c r="A34" s="14" t="str">
        <f>'MEMORIA DE CALCULO'!A34</f>
        <v>7.1</v>
      </c>
      <c r="B34" s="9" t="s">
        <v>16</v>
      </c>
      <c r="C34" s="9" t="str">
        <f>'MEMORIA DE CALCULO'!C34</f>
        <v xml:space="preserve"> 5501700 </v>
      </c>
      <c r="D34" s="7" t="s">
        <v>26</v>
      </c>
      <c r="E34" s="14" t="s">
        <v>29</v>
      </c>
      <c r="F34" s="127">
        <f>'MEMORIA DE CALCULO'!F34</f>
        <v>600</v>
      </c>
      <c r="G34" s="10">
        <v>0.51</v>
      </c>
      <c r="H34" s="11">
        <f t="shared" ref="H34:H35" si="8">ROUND(F34*G34,2)</f>
        <v>306</v>
      </c>
      <c r="I34" s="12">
        <f t="shared" si="7"/>
        <v>7.8948873664025745E-4</v>
      </c>
    </row>
    <row r="35" spans="1:9" x14ac:dyDescent="0.3">
      <c r="A35" s="14" t="str">
        <f>'MEMORIA DE CALCULO'!A35</f>
        <v>7.2</v>
      </c>
      <c r="B35" s="105" t="s">
        <v>16</v>
      </c>
      <c r="C35" s="9">
        <f>'MEMORIA DE CALCULO'!C35</f>
        <v>4915598</v>
      </c>
      <c r="D35" s="7" t="s">
        <v>136</v>
      </c>
      <c r="E35" s="14" t="s">
        <v>29</v>
      </c>
      <c r="F35" s="127">
        <f>'MEMORIA DE CALCULO'!F35</f>
        <v>600</v>
      </c>
      <c r="G35" s="106">
        <v>0.1</v>
      </c>
      <c r="H35" s="11">
        <f t="shared" si="8"/>
        <v>60</v>
      </c>
      <c r="I35" s="12">
        <f t="shared" si="7"/>
        <v>1.5480171306671715E-4</v>
      </c>
    </row>
    <row r="36" spans="1:9" x14ac:dyDescent="0.3">
      <c r="A36" s="20">
        <f>'MEMORIA DE CALCULO'!A36</f>
        <v>8</v>
      </c>
      <c r="B36" s="25"/>
      <c r="C36" s="25"/>
      <c r="D36" s="23" t="s">
        <v>27</v>
      </c>
      <c r="E36" s="23"/>
      <c r="F36" s="23"/>
      <c r="G36" s="23"/>
      <c r="H36" s="23">
        <f>H37+H38+H39+H40</f>
        <v>41869.730000000003</v>
      </c>
      <c r="I36" s="24">
        <f t="shared" si="7"/>
        <v>0.10802509882734866</v>
      </c>
    </row>
    <row r="37" spans="1:9" x14ac:dyDescent="0.3">
      <c r="A37" s="14" t="str">
        <f>'MEMORIA DE CALCULO'!A37</f>
        <v>8.1</v>
      </c>
      <c r="B37" s="9" t="s">
        <v>16</v>
      </c>
      <c r="C37" s="9" t="str">
        <f>'MEMORIA DE CALCULO'!C37</f>
        <v xml:space="preserve"> 5502985 </v>
      </c>
      <c r="D37" s="7" t="s">
        <v>28</v>
      </c>
      <c r="E37" s="14" t="s">
        <v>29</v>
      </c>
      <c r="F37" s="127">
        <f>'MEMORIA DE CALCULO'!F37</f>
        <v>1650</v>
      </c>
      <c r="G37" s="10">
        <v>0.45</v>
      </c>
      <c r="H37" s="11">
        <f t="shared" ref="H37:H40" si="9">ROUND(F37*G37,2)</f>
        <v>742.5</v>
      </c>
      <c r="I37" s="12">
        <f t="shared" si="7"/>
        <v>1.9156711992006246E-3</v>
      </c>
    </row>
    <row r="38" spans="1:9" ht="27.6" x14ac:dyDescent="0.3">
      <c r="A38" s="14" t="str">
        <f>'MEMORIA DE CALCULO'!A38</f>
        <v>8.2</v>
      </c>
      <c r="B38" s="9" t="s">
        <v>16</v>
      </c>
      <c r="C38" s="9">
        <f>'MEMORIA DE CALCULO'!C38</f>
        <v>4015612</v>
      </c>
      <c r="D38" s="7" t="s">
        <v>137</v>
      </c>
      <c r="E38" s="14" t="s">
        <v>31</v>
      </c>
      <c r="F38" s="127">
        <f>'MEMORIA DE CALCULO'!F38</f>
        <v>247.5</v>
      </c>
      <c r="G38" s="10">
        <v>11.28</v>
      </c>
      <c r="H38" s="11">
        <f t="shared" si="9"/>
        <v>2791.8</v>
      </c>
      <c r="I38" s="12">
        <f t="shared" si="7"/>
        <v>7.2029237089943493E-3</v>
      </c>
    </row>
    <row r="39" spans="1:9" ht="27.6" x14ac:dyDescent="0.3">
      <c r="A39" s="14" t="str">
        <f>'MEMORIA DE CALCULO'!A39</f>
        <v>8.3</v>
      </c>
      <c r="B39" s="9" t="s">
        <v>16</v>
      </c>
      <c r="C39" s="9" t="str">
        <f>'MEMORIA DE CALCULO'!C39</f>
        <v xml:space="preserve"> 5914374 </v>
      </c>
      <c r="D39" s="15" t="s">
        <v>25</v>
      </c>
      <c r="E39" s="14" t="s">
        <v>32</v>
      </c>
      <c r="F39" s="127">
        <f>'MEMORIA DE CALCULO'!F39</f>
        <v>41808.199999999997</v>
      </c>
      <c r="G39" s="10">
        <v>0.89</v>
      </c>
      <c r="H39" s="11">
        <f t="shared" si="9"/>
        <v>37209.300000000003</v>
      </c>
      <c r="I39" s="12">
        <f t="shared" si="7"/>
        <v>9.6001056366889978E-2</v>
      </c>
    </row>
    <row r="40" spans="1:9" ht="27.6" x14ac:dyDescent="0.3">
      <c r="A40" s="14" t="str">
        <f>'MEMORIA DE CALCULO'!A40</f>
        <v>8.4</v>
      </c>
      <c r="B40" s="105" t="s">
        <v>11</v>
      </c>
      <c r="C40" s="9">
        <f>'MEMORIA DE CALCULO'!C40</f>
        <v>5502978</v>
      </c>
      <c r="D40" s="7" t="str">
        <f>'MEMORIA DE CALCULO'!D40</f>
        <v>Compactação de aterros a 100% do Proctor normal</v>
      </c>
      <c r="E40" s="14" t="s">
        <v>31</v>
      </c>
      <c r="F40" s="127">
        <f>'MEMORIA DE CALCULO'!F40</f>
        <v>247.5</v>
      </c>
      <c r="G40" s="106">
        <v>4.55</v>
      </c>
      <c r="H40" s="11">
        <f t="shared" si="9"/>
        <v>1126.1300000000001</v>
      </c>
      <c r="I40" s="12">
        <f t="shared" si="7"/>
        <v>2.9054475522637033E-3</v>
      </c>
    </row>
    <row r="41" spans="1:9" ht="15" customHeight="1" x14ac:dyDescent="0.3">
      <c r="A41" s="193" t="s">
        <v>181</v>
      </c>
      <c r="B41" s="193"/>
      <c r="C41" s="193"/>
      <c r="D41" s="193"/>
      <c r="E41" s="193"/>
      <c r="F41" s="193"/>
      <c r="G41" s="193"/>
      <c r="H41" s="193"/>
      <c r="I41" s="193"/>
    </row>
    <row r="42" spans="1:9" x14ac:dyDescent="0.3">
      <c r="A42" s="20">
        <f>'MEMORIA DE CALCULO'!A42</f>
        <v>9</v>
      </c>
      <c r="B42" s="20"/>
      <c r="C42" s="20"/>
      <c r="D42" s="22" t="s">
        <v>24</v>
      </c>
      <c r="E42" s="21"/>
      <c r="F42" s="104"/>
      <c r="G42" s="21"/>
      <c r="H42" s="23">
        <f>H43+H44</f>
        <v>488</v>
      </c>
      <c r="I42" s="24">
        <f t="shared" ref="I42:I49" si="10">H42/$H$59</f>
        <v>1.2590539329426329E-3</v>
      </c>
    </row>
    <row r="43" spans="1:9" ht="41.4" x14ac:dyDescent="0.3">
      <c r="A43" s="14" t="str">
        <f>'MEMORIA DE CALCULO'!A43</f>
        <v>9.1</v>
      </c>
      <c r="B43" s="9" t="s">
        <v>16</v>
      </c>
      <c r="C43" s="9" t="str">
        <f>'MEMORIA DE CALCULO'!C43</f>
        <v xml:space="preserve"> 5501700 </v>
      </c>
      <c r="D43" s="7" t="s">
        <v>26</v>
      </c>
      <c r="E43" s="14" t="s">
        <v>29</v>
      </c>
      <c r="F43" s="8">
        <f>'MEMORIA DE CALCULO'!F43</f>
        <v>800</v>
      </c>
      <c r="G43" s="10">
        <v>0.51</v>
      </c>
      <c r="H43" s="11">
        <f t="shared" ref="H43:H44" si="11">ROUND(F43*G43,2)</f>
        <v>408</v>
      </c>
      <c r="I43" s="12">
        <f t="shared" si="10"/>
        <v>1.0526516488536767E-3</v>
      </c>
    </row>
    <row r="44" spans="1:9" x14ac:dyDescent="0.3">
      <c r="A44" s="14" t="str">
        <f>'MEMORIA DE CALCULO'!A44</f>
        <v>9.2</v>
      </c>
      <c r="B44" s="105" t="s">
        <v>16</v>
      </c>
      <c r="C44" s="9">
        <f>'MEMORIA DE CALCULO'!C44</f>
        <v>4915598</v>
      </c>
      <c r="D44" s="7" t="s">
        <v>136</v>
      </c>
      <c r="E44" s="14" t="s">
        <v>29</v>
      </c>
      <c r="F44" s="8">
        <f>'MEMORIA DE CALCULO'!F44</f>
        <v>800</v>
      </c>
      <c r="G44" s="106">
        <v>0.1</v>
      </c>
      <c r="H44" s="11">
        <f t="shared" si="11"/>
        <v>80</v>
      </c>
      <c r="I44" s="12">
        <f t="shared" si="10"/>
        <v>2.064022840889562E-4</v>
      </c>
    </row>
    <row r="45" spans="1:9" x14ac:dyDescent="0.3">
      <c r="A45" s="20">
        <f>'MEMORIA DE CALCULO'!A45</f>
        <v>10</v>
      </c>
      <c r="B45" s="25"/>
      <c r="C45" s="25"/>
      <c r="D45" s="23" t="s">
        <v>27</v>
      </c>
      <c r="E45" s="23"/>
      <c r="F45" s="120"/>
      <c r="G45" s="23"/>
      <c r="H45" s="23">
        <f>H46+H47+H48+H49</f>
        <v>50180.86</v>
      </c>
      <c r="I45" s="24">
        <f t="shared" si="10"/>
        <v>0.12946805151935173</v>
      </c>
    </row>
    <row r="46" spans="1:9" x14ac:dyDescent="0.3">
      <c r="A46" s="14" t="str">
        <f>'MEMORIA DE CALCULO'!A46</f>
        <v>10.1</v>
      </c>
      <c r="B46" s="9" t="s">
        <v>16</v>
      </c>
      <c r="C46" s="9" t="str">
        <f>'MEMORIA DE CALCULO'!C46</f>
        <v xml:space="preserve"> 5502985 </v>
      </c>
      <c r="D46" s="7" t="s">
        <v>28</v>
      </c>
      <c r="E46" s="14" t="s">
        <v>29</v>
      </c>
      <c r="F46" s="8">
        <f>'MEMORIA DE CALCULO'!F46</f>
        <v>2000</v>
      </c>
      <c r="G46" s="10">
        <v>0.45</v>
      </c>
      <c r="H46" s="11">
        <f t="shared" ref="H46:H49" si="12">ROUND(F46*G46,2)</f>
        <v>900</v>
      </c>
      <c r="I46" s="12">
        <f t="shared" si="10"/>
        <v>2.3220256960007572E-3</v>
      </c>
    </row>
    <row r="47" spans="1:9" ht="27.6" x14ac:dyDescent="0.3">
      <c r="A47" s="14" t="str">
        <f>'MEMORIA DE CALCULO'!A47</f>
        <v>10.2</v>
      </c>
      <c r="B47" s="9" t="s">
        <v>16</v>
      </c>
      <c r="C47" s="9">
        <f>'MEMORIA DE CALCULO'!C47</f>
        <v>4015612</v>
      </c>
      <c r="D47" s="7" t="s">
        <v>137</v>
      </c>
      <c r="E47" s="14" t="s">
        <v>31</v>
      </c>
      <c r="F47" s="8">
        <f>'MEMORIA DE CALCULO'!F47</f>
        <v>300</v>
      </c>
      <c r="G47" s="10">
        <v>11.28</v>
      </c>
      <c r="H47" s="11">
        <f t="shared" si="12"/>
        <v>3384</v>
      </c>
      <c r="I47" s="12">
        <f t="shared" si="10"/>
        <v>8.7308166169628477E-3</v>
      </c>
    </row>
    <row r="48" spans="1:9" ht="27.6" x14ac:dyDescent="0.3">
      <c r="A48" s="14" t="str">
        <f>'MEMORIA DE CALCULO'!A48</f>
        <v>10.3</v>
      </c>
      <c r="B48" s="9" t="s">
        <v>16</v>
      </c>
      <c r="C48" s="9" t="str">
        <f>'MEMORIA DE CALCULO'!C48</f>
        <v xml:space="preserve"> 5914374 </v>
      </c>
      <c r="D48" s="15" t="s">
        <v>25</v>
      </c>
      <c r="E48" s="14" t="s">
        <v>32</v>
      </c>
      <c r="F48" s="8">
        <f>'MEMORIA DE CALCULO'!F48</f>
        <v>50035.8</v>
      </c>
      <c r="G48" s="10">
        <v>0.89</v>
      </c>
      <c r="H48" s="11">
        <f t="shared" si="12"/>
        <v>44531.86</v>
      </c>
      <c r="I48" s="12">
        <f t="shared" si="10"/>
        <v>0.1148934702341203</v>
      </c>
    </row>
    <row r="49" spans="1:9" ht="27.6" x14ac:dyDescent="0.3">
      <c r="A49" s="14" t="str">
        <f>'MEMORIA DE CALCULO'!A49</f>
        <v>10.4</v>
      </c>
      <c r="B49" s="105" t="s">
        <v>11</v>
      </c>
      <c r="C49" s="9">
        <f>'MEMORIA DE CALCULO'!C49</f>
        <v>5502978</v>
      </c>
      <c r="D49" s="7" t="str">
        <f>'MEMORIA DE CALCULO'!D49</f>
        <v>Compactação de aterros a 100% do Proctor normal</v>
      </c>
      <c r="E49" s="14" t="s">
        <v>31</v>
      </c>
      <c r="F49" s="8">
        <f>'MEMORIA DE CALCULO'!F49</f>
        <v>300</v>
      </c>
      <c r="G49" s="106">
        <v>4.55</v>
      </c>
      <c r="H49" s="11">
        <f t="shared" si="12"/>
        <v>1365</v>
      </c>
      <c r="I49" s="12">
        <f t="shared" si="10"/>
        <v>3.5217389722678148E-3</v>
      </c>
    </row>
    <row r="50" spans="1:9" ht="15" customHeight="1" x14ac:dyDescent="0.3">
      <c r="A50" s="193" t="s">
        <v>237</v>
      </c>
      <c r="B50" s="193"/>
      <c r="C50" s="193"/>
      <c r="D50" s="193"/>
      <c r="E50" s="193"/>
      <c r="F50" s="193"/>
      <c r="G50" s="193"/>
      <c r="H50" s="193"/>
      <c r="I50" s="193"/>
    </row>
    <row r="51" spans="1:9" x14ac:dyDescent="0.3">
      <c r="A51" s="20">
        <f>'MEMORIA DE CALCULO'!A51</f>
        <v>11</v>
      </c>
      <c r="B51" s="20"/>
      <c r="C51" s="20"/>
      <c r="D51" s="22" t="s">
        <v>24</v>
      </c>
      <c r="E51" s="21"/>
      <c r="F51" s="104"/>
      <c r="G51" s="21"/>
      <c r="H51" s="23">
        <f>H52+H53</f>
        <v>1708</v>
      </c>
      <c r="I51" s="24">
        <f t="shared" ref="I51:I58" si="13">H51/$H$59</f>
        <v>4.4066887652992144E-3</v>
      </c>
    </row>
    <row r="52" spans="1:9" ht="41.4" x14ac:dyDescent="0.3">
      <c r="A52" s="14" t="str">
        <f>'MEMORIA DE CALCULO'!A52</f>
        <v>11.1</v>
      </c>
      <c r="B52" s="9" t="s">
        <v>16</v>
      </c>
      <c r="C52" s="9" t="str">
        <f>'MEMORIA DE CALCULO'!C52</f>
        <v xml:space="preserve"> 5501700 </v>
      </c>
      <c r="D52" s="7" t="s">
        <v>26</v>
      </c>
      <c r="E52" s="14" t="s">
        <v>29</v>
      </c>
      <c r="F52" s="8">
        <f>'MEMORIA DE CALCULO'!F52</f>
        <v>2800</v>
      </c>
      <c r="G52" s="10">
        <v>0.51</v>
      </c>
      <c r="H52" s="11">
        <f t="shared" ref="H52:H53" si="14">ROUND(F52*G52,2)</f>
        <v>1428</v>
      </c>
      <c r="I52" s="12">
        <f t="shared" si="13"/>
        <v>3.684280770987868E-3</v>
      </c>
    </row>
    <row r="53" spans="1:9" x14ac:dyDescent="0.3">
      <c r="A53" s="14" t="str">
        <f>'MEMORIA DE CALCULO'!A53</f>
        <v>11.2</v>
      </c>
      <c r="B53" s="105" t="s">
        <v>16</v>
      </c>
      <c r="C53" s="9">
        <f>'MEMORIA DE CALCULO'!C53</f>
        <v>4915598</v>
      </c>
      <c r="D53" s="7" t="s">
        <v>136</v>
      </c>
      <c r="E53" s="14" t="s">
        <v>29</v>
      </c>
      <c r="F53" s="8">
        <f>'MEMORIA DE CALCULO'!F53</f>
        <v>2800</v>
      </c>
      <c r="G53" s="106">
        <v>0.1</v>
      </c>
      <c r="H53" s="11">
        <f t="shared" si="14"/>
        <v>280</v>
      </c>
      <c r="I53" s="12">
        <f t="shared" si="13"/>
        <v>7.2240799431134669E-4</v>
      </c>
    </row>
    <row r="54" spans="1:9" x14ac:dyDescent="0.3">
      <c r="A54" s="20">
        <f>'MEMORIA DE CALCULO'!A54</f>
        <v>12</v>
      </c>
      <c r="B54" s="25"/>
      <c r="C54" s="25"/>
      <c r="D54" s="23" t="s">
        <v>27</v>
      </c>
      <c r="E54" s="23"/>
      <c r="F54" s="120"/>
      <c r="G54" s="23"/>
      <c r="H54" s="23">
        <f>H55+H56+H57+H58</f>
        <v>176963.75</v>
      </c>
      <c r="I54" s="24">
        <f t="shared" si="13"/>
        <v>0.45657152751183777</v>
      </c>
    </row>
    <row r="55" spans="1:9" x14ac:dyDescent="0.3">
      <c r="A55" s="14" t="str">
        <f>'MEMORIA DE CALCULO'!A55</f>
        <v>12.1</v>
      </c>
      <c r="B55" s="9" t="s">
        <v>16</v>
      </c>
      <c r="C55" s="9" t="str">
        <f>'MEMORIA DE CALCULO'!C55</f>
        <v xml:space="preserve"> 5502985 </v>
      </c>
      <c r="D55" s="7" t="s">
        <v>28</v>
      </c>
      <c r="E55" s="14" t="s">
        <v>29</v>
      </c>
      <c r="F55" s="8">
        <f>'MEMORIA DE CALCULO'!F55</f>
        <v>7000</v>
      </c>
      <c r="G55" s="10">
        <v>0.45</v>
      </c>
      <c r="H55" s="11">
        <f t="shared" ref="H55:H58" si="15">ROUND(F55*G55,2)</f>
        <v>3150</v>
      </c>
      <c r="I55" s="12">
        <f t="shared" si="13"/>
        <v>8.1270899360026509E-3</v>
      </c>
    </row>
    <row r="56" spans="1:9" ht="27.6" x14ac:dyDescent="0.3">
      <c r="A56" s="14" t="str">
        <f>'MEMORIA DE CALCULO'!A56</f>
        <v>12.2</v>
      </c>
      <c r="B56" s="9" t="s">
        <v>16</v>
      </c>
      <c r="C56" s="9">
        <f>'MEMORIA DE CALCULO'!C56</f>
        <v>4015612</v>
      </c>
      <c r="D56" s="7" t="s">
        <v>137</v>
      </c>
      <c r="E56" s="14" t="s">
        <v>31</v>
      </c>
      <c r="F56" s="8">
        <f>'MEMORIA DE CALCULO'!F56</f>
        <v>1050</v>
      </c>
      <c r="G56" s="10">
        <v>11.28</v>
      </c>
      <c r="H56" s="11">
        <f t="shared" si="15"/>
        <v>11844</v>
      </c>
      <c r="I56" s="12">
        <f t="shared" si="13"/>
        <v>3.0557858159369965E-2</v>
      </c>
    </row>
    <row r="57" spans="1:9" ht="27.6" x14ac:dyDescent="0.3">
      <c r="A57" s="14" t="str">
        <f>'MEMORIA DE CALCULO'!A57</f>
        <v>12.3</v>
      </c>
      <c r="B57" s="9" t="s">
        <v>16</v>
      </c>
      <c r="C57" s="9" t="str">
        <f>'MEMORIA DE CALCULO'!C57</f>
        <v xml:space="preserve"> 5914374 </v>
      </c>
      <c r="D57" s="15" t="s">
        <v>25</v>
      </c>
      <c r="E57" s="14" t="s">
        <v>32</v>
      </c>
      <c r="F57" s="8">
        <f>'MEMORIA DE CALCULO'!F57</f>
        <v>176620.5</v>
      </c>
      <c r="G57" s="10">
        <v>0.89</v>
      </c>
      <c r="H57" s="11">
        <f t="shared" si="15"/>
        <v>157192.25</v>
      </c>
      <c r="I57" s="12">
        <f t="shared" si="13"/>
        <v>0.40556049301352781</v>
      </c>
    </row>
    <row r="58" spans="1:9" ht="27.6" x14ac:dyDescent="0.3">
      <c r="A58" s="14" t="str">
        <f>'MEMORIA DE CALCULO'!A58</f>
        <v>12.4</v>
      </c>
      <c r="B58" s="105" t="s">
        <v>11</v>
      </c>
      <c r="C58" s="9">
        <f>'MEMORIA DE CALCULO'!C58</f>
        <v>5502978</v>
      </c>
      <c r="D58" s="7" t="str">
        <f>'MEMORIA DE CALCULO'!D58</f>
        <v>Compactação de aterros a 100% do Proctor normal</v>
      </c>
      <c r="E58" s="14" t="s">
        <v>31</v>
      </c>
      <c r="F58" s="8">
        <f>'MEMORIA DE CALCULO'!F58</f>
        <v>1050</v>
      </c>
      <c r="G58" s="106">
        <v>4.55</v>
      </c>
      <c r="H58" s="11">
        <f t="shared" si="15"/>
        <v>4777.5</v>
      </c>
      <c r="I58" s="12">
        <f t="shared" si="13"/>
        <v>1.2326086402937352E-2</v>
      </c>
    </row>
    <row r="59" spans="1:9" x14ac:dyDescent="0.3">
      <c r="A59" s="198" t="s">
        <v>20</v>
      </c>
      <c r="B59" s="198"/>
      <c r="C59" s="198"/>
      <c r="D59" s="198"/>
      <c r="E59" s="198"/>
      <c r="F59" s="198"/>
      <c r="G59" s="198"/>
      <c r="H59" s="26">
        <f>H8+H11+H14+H17+H23+H26+H33+H36+H42+H45+H51+H54</f>
        <v>387592.61</v>
      </c>
      <c r="I59" s="194"/>
    </row>
    <row r="60" spans="1:9" ht="15.75" customHeight="1" x14ac:dyDescent="0.3">
      <c r="A60" s="198" t="s">
        <v>231</v>
      </c>
      <c r="B60" s="198"/>
      <c r="C60" s="198"/>
      <c r="D60" s="198"/>
      <c r="E60" s="198"/>
      <c r="F60" s="198"/>
      <c r="G60" s="198"/>
      <c r="H60" s="26">
        <f>ROUND(H59*F6,2)</f>
        <v>82751.02</v>
      </c>
      <c r="I60" s="195"/>
    </row>
    <row r="61" spans="1:9" ht="15.75" customHeight="1" x14ac:dyDescent="0.3">
      <c r="A61" s="192" t="s">
        <v>21</v>
      </c>
      <c r="B61" s="192"/>
      <c r="C61" s="192"/>
      <c r="D61" s="192"/>
      <c r="E61" s="192"/>
      <c r="F61" s="192"/>
      <c r="G61" s="192"/>
      <c r="H61" s="27">
        <f>H59+H60</f>
        <v>470343.63</v>
      </c>
      <c r="I61" s="195"/>
    </row>
    <row r="64" spans="1:9" x14ac:dyDescent="0.3">
      <c r="I64" s="188"/>
    </row>
  </sheetData>
  <mergeCells count="11">
    <mergeCell ref="A1:I1"/>
    <mergeCell ref="A5:B5"/>
    <mergeCell ref="A13:I13"/>
    <mergeCell ref="A59:G59"/>
    <mergeCell ref="A60:G60"/>
    <mergeCell ref="A61:G61"/>
    <mergeCell ref="A22:I22"/>
    <mergeCell ref="I59:I61"/>
    <mergeCell ref="A32:I32"/>
    <mergeCell ref="A41:I41"/>
    <mergeCell ref="A50:I50"/>
  </mergeCells>
  <phoneticPr fontId="15" type="noConversion"/>
  <printOptions horizontalCentered="1"/>
  <pageMargins left="0.19685039370078741" right="0" top="0.39370078740157483" bottom="0.39370078740157483" header="0" footer="0"/>
  <pageSetup paperSize="9" scale="70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21EB-821A-4B80-B914-946303AE1C3D}">
  <dimension ref="A2:O45"/>
  <sheetViews>
    <sheetView topLeftCell="A23" workbookViewId="0">
      <selection activeCell="B44" sqref="B44"/>
    </sheetView>
  </sheetViews>
  <sheetFormatPr defaultColWidth="9.109375" defaultRowHeight="13.8" x14ac:dyDescent="0.25"/>
  <cols>
    <col min="1" max="1" width="22.88671875" style="34" customWidth="1"/>
    <col min="2" max="2" width="16.44140625" style="124" customWidth="1"/>
    <col min="3" max="9" width="9.109375" style="34"/>
    <col min="10" max="10" width="10" style="34" customWidth="1"/>
    <col min="11" max="11" width="10.33203125" style="34" customWidth="1"/>
    <col min="12" max="12" width="9.109375" style="124"/>
    <col min="13" max="13" width="9.6640625" style="34" customWidth="1"/>
    <col min="14" max="14" width="10" style="34" customWidth="1"/>
    <col min="15" max="16384" width="9.109375" style="34"/>
  </cols>
  <sheetData>
    <row r="2" spans="1:15" x14ac:dyDescent="0.25">
      <c r="A2" s="215" t="s">
        <v>42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15" x14ac:dyDescent="0.2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15" x14ac:dyDescent="0.25">
      <c r="A4" s="35"/>
      <c r="B4" s="121"/>
      <c r="C4" s="35"/>
      <c r="D4" s="35"/>
      <c r="E4" s="35"/>
      <c r="F4" s="35"/>
      <c r="G4" s="35"/>
      <c r="H4" s="35"/>
      <c r="I4" s="35"/>
      <c r="J4" s="35"/>
      <c r="K4" s="35"/>
      <c r="L4" s="121"/>
      <c r="M4" s="35"/>
    </row>
    <row r="5" spans="1:15" ht="17.399999999999999" x14ac:dyDescent="0.3">
      <c r="A5" s="5" t="s">
        <v>147</v>
      </c>
      <c r="B5" s="128" t="str">
        <f>Orçamento!C3</f>
        <v>Recuperação de estradas vicinais</v>
      </c>
      <c r="C5" s="42"/>
      <c r="D5" s="42"/>
      <c r="E5" s="4"/>
      <c r="F5" s="4"/>
      <c r="G5" s="4"/>
      <c r="H5" s="4"/>
      <c r="I5" s="4"/>
      <c r="J5" s="4"/>
      <c r="K5" s="4"/>
      <c r="L5" s="101"/>
      <c r="M5" s="4"/>
      <c r="N5" s="4"/>
      <c r="O5" s="4"/>
    </row>
    <row r="6" spans="1:15" ht="18.75" customHeight="1" x14ac:dyDescent="0.25">
      <c r="A6" s="44" t="s">
        <v>148</v>
      </c>
      <c r="B6" s="42" t="str">
        <f>Orçamento!C4</f>
        <v>Comunidade de Mirantão</v>
      </c>
      <c r="C6" s="42"/>
      <c r="D6" s="42"/>
      <c r="E6" s="2"/>
      <c r="F6" s="2"/>
      <c r="G6" s="2"/>
      <c r="H6" s="2"/>
      <c r="I6" s="2"/>
      <c r="J6" s="2"/>
      <c r="K6" s="2"/>
      <c r="L6" s="101"/>
      <c r="M6" s="4"/>
    </row>
    <row r="7" spans="1:15" ht="17.399999999999999" x14ac:dyDescent="0.25">
      <c r="A7" s="5" t="s">
        <v>149</v>
      </c>
      <c r="B7" s="42" t="str">
        <f>Orçamento!C2</f>
        <v>Prefeitura municipal de Bocaina de Minas</v>
      </c>
      <c r="C7" s="5"/>
      <c r="D7" s="4"/>
      <c r="E7" s="4"/>
      <c r="F7" s="4"/>
      <c r="G7" s="4"/>
      <c r="H7" s="4"/>
      <c r="I7" s="4"/>
      <c r="J7" s="37"/>
      <c r="K7" s="4"/>
      <c r="L7" s="101"/>
      <c r="M7" s="4"/>
    </row>
    <row r="8" spans="1:15" ht="18" thickBot="1" x14ac:dyDescent="0.3">
      <c r="A8" s="1"/>
      <c r="B8" s="122"/>
      <c r="C8" s="5"/>
      <c r="D8" s="4"/>
      <c r="E8" s="4"/>
      <c r="F8" s="4"/>
      <c r="G8" s="4"/>
      <c r="H8" s="4"/>
      <c r="I8" s="4"/>
      <c r="J8" s="4"/>
      <c r="K8" s="4"/>
      <c r="L8" s="101"/>
      <c r="M8" s="4"/>
    </row>
    <row r="9" spans="1:15" ht="24" thickTop="1" thickBot="1" x14ac:dyDescent="0.45">
      <c r="A9" s="216" t="s">
        <v>43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8"/>
    </row>
    <row r="10" spans="1:15" ht="15" customHeight="1" thickTop="1" x14ac:dyDescent="0.25">
      <c r="A10" s="43" t="s">
        <v>44</v>
      </c>
      <c r="B10" s="129">
        <v>1.2500000000000001E-2</v>
      </c>
      <c r="D10" s="220" t="s">
        <v>45</v>
      </c>
      <c r="E10" s="220"/>
      <c r="F10" s="29">
        <v>1.78</v>
      </c>
      <c r="G10" s="28" t="s">
        <v>46</v>
      </c>
      <c r="L10" s="125"/>
    </row>
    <row r="11" spans="1:15" ht="14.25" customHeight="1" x14ac:dyDescent="0.25">
      <c r="A11" s="43" t="s">
        <v>47</v>
      </c>
      <c r="B11" s="130">
        <v>20</v>
      </c>
      <c r="D11" s="221" t="s">
        <v>48</v>
      </c>
      <c r="E11" s="221"/>
      <c r="F11" s="31">
        <v>0.15</v>
      </c>
      <c r="G11" s="30" t="s">
        <v>49</v>
      </c>
      <c r="J11" s="29"/>
      <c r="K11" s="32"/>
      <c r="O11" s="32"/>
    </row>
    <row r="12" spans="1:15" x14ac:dyDescent="0.25">
      <c r="A12" s="43" t="s">
        <v>50</v>
      </c>
      <c r="B12" s="131" t="s">
        <v>167</v>
      </c>
      <c r="E12" s="33"/>
      <c r="F12" s="33"/>
      <c r="G12" s="33"/>
      <c r="I12" s="33"/>
      <c r="L12" s="125"/>
    </row>
    <row r="13" spans="1:15" x14ac:dyDescent="0.25">
      <c r="B13" s="123"/>
      <c r="C13" s="33"/>
      <c r="D13" s="33"/>
      <c r="E13" s="33"/>
      <c r="F13" s="33"/>
      <c r="H13" s="33"/>
      <c r="I13" s="33"/>
      <c r="L13" s="125"/>
    </row>
    <row r="14" spans="1:15" ht="15.6" x14ac:dyDescent="0.25">
      <c r="A14" s="219" t="s">
        <v>51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</row>
    <row r="15" spans="1:15" ht="22.8" x14ac:dyDescent="0.25">
      <c r="A15" s="38" t="s">
        <v>52</v>
      </c>
      <c r="B15" s="132" t="s">
        <v>53</v>
      </c>
      <c r="C15" s="199" t="s">
        <v>62</v>
      </c>
      <c r="D15" s="200"/>
      <c r="E15" s="200"/>
      <c r="F15" s="200"/>
      <c r="G15" s="200"/>
      <c r="H15" s="201"/>
      <c r="I15" s="202" t="s">
        <v>63</v>
      </c>
      <c r="J15" s="203"/>
      <c r="K15" s="202" t="s">
        <v>54</v>
      </c>
      <c r="L15" s="204"/>
      <c r="M15" s="203"/>
      <c r="N15" s="202" t="s">
        <v>55</v>
      </c>
      <c r="O15" s="203"/>
    </row>
    <row r="16" spans="1:15" ht="30" x14ac:dyDescent="0.25">
      <c r="A16" s="39" t="s">
        <v>56</v>
      </c>
      <c r="B16" s="133" t="s">
        <v>179</v>
      </c>
      <c r="C16" s="205">
        <v>0.2</v>
      </c>
      <c r="D16" s="206"/>
      <c r="E16" s="206"/>
      <c r="F16" s="206"/>
      <c r="G16" s="206"/>
      <c r="H16" s="207"/>
      <c r="I16" s="208">
        <f>C16/2</f>
        <v>0.1</v>
      </c>
      <c r="J16" s="209"/>
      <c r="K16" s="210">
        <v>98.3</v>
      </c>
      <c r="L16" s="211"/>
      <c r="M16" s="212"/>
      <c r="N16" s="213">
        <f>98.3+I16</f>
        <v>98.399999999999991</v>
      </c>
      <c r="O16" s="214"/>
    </row>
    <row r="17" spans="1:15" x14ac:dyDescent="0.25">
      <c r="J17" s="36"/>
      <c r="K17" s="36"/>
    </row>
    <row r="18" spans="1:15" ht="15.6" x14ac:dyDescent="0.3">
      <c r="K18" s="40" t="s">
        <v>57</v>
      </c>
      <c r="L18" s="134">
        <f>N16</f>
        <v>98.399999999999991</v>
      </c>
      <c r="M18" s="41" t="s">
        <v>58</v>
      </c>
    </row>
    <row r="20" spans="1:15" ht="15.6" x14ac:dyDescent="0.25">
      <c r="A20" s="219" t="s">
        <v>59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</row>
    <row r="21" spans="1:15" ht="22.8" x14ac:dyDescent="0.25">
      <c r="A21" s="38" t="s">
        <v>52</v>
      </c>
      <c r="B21" s="132" t="s">
        <v>53</v>
      </c>
      <c r="C21" s="199" t="s">
        <v>62</v>
      </c>
      <c r="D21" s="200"/>
      <c r="E21" s="200"/>
      <c r="F21" s="200"/>
      <c r="G21" s="200"/>
      <c r="H21" s="201"/>
      <c r="I21" s="202" t="s">
        <v>63</v>
      </c>
      <c r="J21" s="203"/>
      <c r="K21" s="202" t="s">
        <v>54</v>
      </c>
      <c r="L21" s="204"/>
      <c r="M21" s="203"/>
      <c r="N21" s="202" t="s">
        <v>55</v>
      </c>
      <c r="O21" s="203"/>
    </row>
    <row r="22" spans="1:15" ht="30" x14ac:dyDescent="0.25">
      <c r="A22" s="39" t="s">
        <v>60</v>
      </c>
      <c r="B22" s="133" t="s">
        <v>179</v>
      </c>
      <c r="C22" s="205">
        <v>0.4</v>
      </c>
      <c r="D22" s="206"/>
      <c r="E22" s="206"/>
      <c r="F22" s="206"/>
      <c r="G22" s="206"/>
      <c r="H22" s="207"/>
      <c r="I22" s="208">
        <f>0.4/2</f>
        <v>0.2</v>
      </c>
      <c r="J22" s="209"/>
      <c r="K22" s="210">
        <v>94.1</v>
      </c>
      <c r="L22" s="211"/>
      <c r="M22" s="212"/>
      <c r="N22" s="213">
        <f>K22+I22</f>
        <v>94.3</v>
      </c>
      <c r="O22" s="214"/>
    </row>
    <row r="23" spans="1:15" x14ac:dyDescent="0.25">
      <c r="J23" s="36"/>
      <c r="K23" s="36"/>
      <c r="L23" s="34"/>
      <c r="N23" s="135" t="s">
        <v>180</v>
      </c>
    </row>
    <row r="24" spans="1:15" ht="15.6" x14ac:dyDescent="0.3">
      <c r="K24" s="40" t="s">
        <v>61</v>
      </c>
      <c r="L24" s="134">
        <f>N22</f>
        <v>94.3</v>
      </c>
      <c r="M24" s="41" t="s">
        <v>58</v>
      </c>
    </row>
    <row r="25" spans="1:15" ht="15.6" x14ac:dyDescent="0.3">
      <c r="K25" s="40"/>
      <c r="L25" s="126"/>
      <c r="M25" s="41"/>
    </row>
    <row r="26" spans="1:15" ht="15.6" x14ac:dyDescent="0.25">
      <c r="A26" s="219" t="s">
        <v>59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</row>
    <row r="27" spans="1:15" s="124" customFormat="1" ht="22.8" x14ac:dyDescent="0.25">
      <c r="A27" s="38" t="s">
        <v>52</v>
      </c>
      <c r="B27" s="132" t="s">
        <v>53</v>
      </c>
      <c r="C27" s="222" t="s">
        <v>62</v>
      </c>
      <c r="D27" s="223"/>
      <c r="E27" s="223"/>
      <c r="F27" s="223"/>
      <c r="G27" s="223"/>
      <c r="H27" s="224"/>
      <c r="I27" s="202" t="s">
        <v>63</v>
      </c>
      <c r="J27" s="203"/>
      <c r="K27" s="202" t="s">
        <v>54</v>
      </c>
      <c r="L27" s="204"/>
      <c r="M27" s="203"/>
      <c r="N27" s="202" t="s">
        <v>55</v>
      </c>
      <c r="O27" s="203"/>
    </row>
    <row r="28" spans="1:15" s="124" customFormat="1" ht="30" x14ac:dyDescent="0.25">
      <c r="A28" s="39" t="s">
        <v>156</v>
      </c>
      <c r="B28" s="133" t="s">
        <v>179</v>
      </c>
      <c r="C28" s="225">
        <v>0.3</v>
      </c>
      <c r="D28" s="226"/>
      <c r="E28" s="226"/>
      <c r="F28" s="226"/>
      <c r="G28" s="226"/>
      <c r="H28" s="227"/>
      <c r="I28" s="208">
        <f>C28/2</f>
        <v>0.15</v>
      </c>
      <c r="J28" s="209"/>
      <c r="K28" s="210">
        <v>94.9</v>
      </c>
      <c r="L28" s="211">
        <v>94.9</v>
      </c>
      <c r="M28" s="212"/>
      <c r="N28" s="213">
        <f>I28+K28</f>
        <v>95.050000000000011</v>
      </c>
      <c r="O28" s="214"/>
    </row>
    <row r="29" spans="1:15" x14ac:dyDescent="0.25">
      <c r="K29" s="210"/>
      <c r="L29" s="211"/>
      <c r="M29" s="212"/>
    </row>
    <row r="30" spans="1:15" ht="15.6" x14ac:dyDescent="0.3">
      <c r="K30" s="40" t="s">
        <v>155</v>
      </c>
      <c r="L30" s="134">
        <f>N28</f>
        <v>95.050000000000011</v>
      </c>
      <c r="M30" s="41" t="s">
        <v>58</v>
      </c>
    </row>
    <row r="32" spans="1:15" ht="15.6" x14ac:dyDescent="0.25">
      <c r="A32" s="219" t="s">
        <v>59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</row>
    <row r="33" spans="1:15" ht="22.8" x14ac:dyDescent="0.25">
      <c r="A33" s="38" t="s">
        <v>52</v>
      </c>
      <c r="B33" s="132" t="s">
        <v>53</v>
      </c>
      <c r="C33" s="199" t="s">
        <v>62</v>
      </c>
      <c r="D33" s="200"/>
      <c r="E33" s="200"/>
      <c r="F33" s="200"/>
      <c r="G33" s="200"/>
      <c r="H33" s="201"/>
      <c r="I33" s="202" t="s">
        <v>63</v>
      </c>
      <c r="J33" s="203"/>
      <c r="K33" s="202" t="s">
        <v>54</v>
      </c>
      <c r="L33" s="204"/>
      <c r="M33" s="203"/>
      <c r="N33" s="202" t="s">
        <v>55</v>
      </c>
      <c r="O33" s="203"/>
    </row>
    <row r="34" spans="1:15" ht="30" x14ac:dyDescent="0.25">
      <c r="A34" s="39" t="s">
        <v>158</v>
      </c>
      <c r="B34" s="133" t="s">
        <v>179</v>
      </c>
      <c r="C34" s="205">
        <v>0.4</v>
      </c>
      <c r="D34" s="206"/>
      <c r="E34" s="206"/>
      <c r="F34" s="206"/>
      <c r="G34" s="206"/>
      <c r="H34" s="207"/>
      <c r="I34" s="208">
        <f>C34/2</f>
        <v>0.2</v>
      </c>
      <c r="J34" s="209"/>
      <c r="K34" s="210">
        <v>93.7</v>
      </c>
      <c r="L34" s="211"/>
      <c r="M34" s="212"/>
      <c r="N34" s="213">
        <f>I34+K34</f>
        <v>93.9</v>
      </c>
      <c r="O34" s="214"/>
    </row>
    <row r="36" spans="1:15" ht="15.6" x14ac:dyDescent="0.3">
      <c r="K36" s="40" t="s">
        <v>157</v>
      </c>
      <c r="L36" s="134">
        <f>N34</f>
        <v>93.9</v>
      </c>
      <c r="M36" s="41" t="s">
        <v>58</v>
      </c>
    </row>
    <row r="38" spans="1:15" ht="15.6" x14ac:dyDescent="0.25">
      <c r="A38" s="219" t="s">
        <v>59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</row>
    <row r="39" spans="1:15" ht="22.8" x14ac:dyDescent="0.25">
      <c r="A39" s="38" t="s">
        <v>52</v>
      </c>
      <c r="B39" s="132" t="s">
        <v>53</v>
      </c>
      <c r="C39" s="199" t="s">
        <v>62</v>
      </c>
      <c r="D39" s="200"/>
      <c r="E39" s="200"/>
      <c r="F39" s="200"/>
      <c r="G39" s="200"/>
      <c r="H39" s="201"/>
      <c r="I39" s="202" t="s">
        <v>63</v>
      </c>
      <c r="J39" s="203"/>
      <c r="K39" s="202" t="s">
        <v>54</v>
      </c>
      <c r="L39" s="204"/>
      <c r="M39" s="203"/>
      <c r="N39" s="202" t="s">
        <v>55</v>
      </c>
      <c r="O39" s="203"/>
    </row>
    <row r="40" spans="1:15" ht="30" x14ac:dyDescent="0.25">
      <c r="A40" s="39" t="s">
        <v>159</v>
      </c>
      <c r="B40" s="133" t="s">
        <v>179</v>
      </c>
      <c r="C40" s="205">
        <v>1.4</v>
      </c>
      <c r="D40" s="206"/>
      <c r="E40" s="206"/>
      <c r="F40" s="206"/>
      <c r="G40" s="206"/>
      <c r="H40" s="207"/>
      <c r="I40" s="208">
        <f>C40/2</f>
        <v>0.7</v>
      </c>
      <c r="J40" s="209"/>
      <c r="K40" s="210">
        <v>94.5</v>
      </c>
      <c r="L40" s="211"/>
      <c r="M40" s="212"/>
      <c r="N40" s="213">
        <f>I40+K40</f>
        <v>95.2</v>
      </c>
      <c r="O40" s="214"/>
    </row>
    <row r="42" spans="1:15" ht="15.6" x14ac:dyDescent="0.3">
      <c r="K42" s="40" t="s">
        <v>160</v>
      </c>
      <c r="L42" s="134">
        <f>N40</f>
        <v>95.2</v>
      </c>
      <c r="M42" s="41" t="s">
        <v>58</v>
      </c>
    </row>
    <row r="45" spans="1:15" ht="15.6" x14ac:dyDescent="0.3">
      <c r="K45" s="40"/>
      <c r="L45" s="126"/>
      <c r="M45" s="41"/>
    </row>
  </sheetData>
  <mergeCells count="50">
    <mergeCell ref="C40:H40"/>
    <mergeCell ref="I40:J40"/>
    <mergeCell ref="K40:M40"/>
    <mergeCell ref="N40:O40"/>
    <mergeCell ref="A38:O38"/>
    <mergeCell ref="C39:H39"/>
    <mergeCell ref="I39:J39"/>
    <mergeCell ref="K39:M39"/>
    <mergeCell ref="N39:O39"/>
    <mergeCell ref="C33:H33"/>
    <mergeCell ref="I33:J33"/>
    <mergeCell ref="K33:M33"/>
    <mergeCell ref="N33:O33"/>
    <mergeCell ref="C34:H34"/>
    <mergeCell ref="I34:J34"/>
    <mergeCell ref="K34:M34"/>
    <mergeCell ref="N34:O34"/>
    <mergeCell ref="C28:H28"/>
    <mergeCell ref="I28:J28"/>
    <mergeCell ref="K29:M29"/>
    <mergeCell ref="N28:O28"/>
    <mergeCell ref="A32:O32"/>
    <mergeCell ref="K28:M28"/>
    <mergeCell ref="A26:O26"/>
    <mergeCell ref="C27:H27"/>
    <mergeCell ref="I27:J27"/>
    <mergeCell ref="K27:M27"/>
    <mergeCell ref="N27:O27"/>
    <mergeCell ref="A2:O3"/>
    <mergeCell ref="A9:O9"/>
    <mergeCell ref="A20:O20"/>
    <mergeCell ref="D10:E10"/>
    <mergeCell ref="D11:E11"/>
    <mergeCell ref="A14:O14"/>
    <mergeCell ref="C15:H15"/>
    <mergeCell ref="I15:J15"/>
    <mergeCell ref="K15:M15"/>
    <mergeCell ref="N15:O15"/>
    <mergeCell ref="C16:H16"/>
    <mergeCell ref="I16:J16"/>
    <mergeCell ref="K16:M16"/>
    <mergeCell ref="N16:O16"/>
    <mergeCell ref="C21:H21"/>
    <mergeCell ref="I21:J21"/>
    <mergeCell ref="K21:M21"/>
    <mergeCell ref="N21:O21"/>
    <mergeCell ref="C22:H22"/>
    <mergeCell ref="I22:J22"/>
    <mergeCell ref="K22:M22"/>
    <mergeCell ref="N22:O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B2CF-AB73-4E57-9C38-EB4EA346C555}">
  <dimension ref="A1:O11"/>
  <sheetViews>
    <sheetView workbookViewId="0">
      <selection activeCell="K5" sqref="K5:K8"/>
    </sheetView>
  </sheetViews>
  <sheetFormatPr defaultRowHeight="14.4" x14ac:dyDescent="0.3"/>
  <cols>
    <col min="3" max="4" width="12.6640625" customWidth="1"/>
    <col min="5" max="5" width="11.109375" customWidth="1"/>
    <col min="6" max="6" width="10" customWidth="1"/>
    <col min="7" max="7" width="10.33203125" customWidth="1"/>
    <col min="8" max="8" width="10.88671875" customWidth="1"/>
    <col min="13" max="13" width="9.88671875" customWidth="1"/>
    <col min="14" max="14" width="11.5546875" customWidth="1"/>
    <col min="15" max="15" width="10.44140625" bestFit="1" customWidth="1"/>
  </cols>
  <sheetData>
    <row r="1" spans="1:15" ht="15.6" thickBot="1" x14ac:dyDescent="0.35">
      <c r="A1" s="61" t="s">
        <v>14</v>
      </c>
      <c r="B1" s="232" t="s">
        <v>64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62" t="s">
        <v>65</v>
      </c>
    </row>
    <row r="2" spans="1:15" ht="15.6" thickBot="1" x14ac:dyDescent="0.35">
      <c r="A2" s="234" t="s">
        <v>66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5" ht="48" x14ac:dyDescent="0.3">
      <c r="A3" s="63" t="s">
        <v>67</v>
      </c>
      <c r="B3" s="64" t="s">
        <v>68</v>
      </c>
      <c r="C3" s="237" t="s">
        <v>69</v>
      </c>
      <c r="D3" s="237"/>
      <c r="E3" s="65" t="s">
        <v>70</v>
      </c>
      <c r="F3" s="238"/>
      <c r="G3" s="238"/>
      <c r="H3" s="238"/>
      <c r="I3" s="66" t="s">
        <v>71</v>
      </c>
      <c r="J3" s="67" t="s">
        <v>90</v>
      </c>
      <c r="K3" s="67" t="s">
        <v>72</v>
      </c>
      <c r="L3" s="67" t="s">
        <v>73</v>
      </c>
      <c r="M3" s="67" t="s">
        <v>74</v>
      </c>
      <c r="N3" s="68" t="s">
        <v>75</v>
      </c>
      <c r="O3" s="68" t="s">
        <v>76</v>
      </c>
    </row>
    <row r="4" spans="1:15" ht="24" customHeight="1" x14ac:dyDescent="0.3">
      <c r="A4" s="239" t="s">
        <v>77</v>
      </c>
      <c r="B4" s="239"/>
      <c r="C4" s="240" t="s">
        <v>78</v>
      </c>
      <c r="D4" s="240"/>
      <c r="E4" s="240" t="s">
        <v>79</v>
      </c>
      <c r="F4" s="240"/>
      <c r="G4" s="240"/>
      <c r="H4" s="240"/>
      <c r="I4" s="69"/>
      <c r="J4" s="67"/>
      <c r="K4" s="67"/>
      <c r="L4" s="67"/>
      <c r="M4" s="67"/>
      <c r="N4" s="68"/>
      <c r="O4" s="68"/>
    </row>
    <row r="5" spans="1:15" ht="26.25" customHeight="1" x14ac:dyDescent="0.3">
      <c r="A5" s="45">
        <v>1</v>
      </c>
      <c r="B5" s="46" t="s">
        <v>82</v>
      </c>
      <c r="C5" s="228" t="s">
        <v>83</v>
      </c>
      <c r="D5" s="228"/>
      <c r="E5" s="47" t="s">
        <v>80</v>
      </c>
      <c r="F5" s="229" t="s">
        <v>81</v>
      </c>
      <c r="G5" s="229"/>
      <c r="H5" s="229"/>
      <c r="I5" s="48">
        <v>1</v>
      </c>
      <c r="J5" s="50">
        <v>75.900000000000006</v>
      </c>
      <c r="K5" s="49">
        <v>5</v>
      </c>
      <c r="L5" s="49">
        <v>1</v>
      </c>
      <c r="M5" s="50">
        <v>60</v>
      </c>
      <c r="N5" s="49">
        <v>271.38580000000002</v>
      </c>
      <c r="O5" s="71">
        <f t="shared" ref="O5:O8" si="0">ROUND((J5*K5*L5)/M5,2)*N5</f>
        <v>1717.8721140000002</v>
      </c>
    </row>
    <row r="6" spans="1:15" ht="24" customHeight="1" x14ac:dyDescent="0.3">
      <c r="A6" s="45">
        <v>2</v>
      </c>
      <c r="B6" s="46" t="s">
        <v>84</v>
      </c>
      <c r="C6" s="228" t="s">
        <v>85</v>
      </c>
      <c r="D6" s="228"/>
      <c r="E6" s="47" t="s">
        <v>80</v>
      </c>
      <c r="F6" s="229" t="s">
        <v>81</v>
      </c>
      <c r="G6" s="229"/>
      <c r="H6" s="229"/>
      <c r="I6" s="48">
        <v>1</v>
      </c>
      <c r="J6" s="50">
        <v>75.900000000000006</v>
      </c>
      <c r="K6" s="49">
        <v>5</v>
      </c>
      <c r="L6" s="49">
        <v>0.5</v>
      </c>
      <c r="M6" s="50">
        <v>60</v>
      </c>
      <c r="N6" s="49">
        <v>191.4511</v>
      </c>
      <c r="O6" s="71">
        <f t="shared" si="0"/>
        <v>604.98547600000006</v>
      </c>
    </row>
    <row r="7" spans="1:15" ht="25.5" customHeight="1" x14ac:dyDescent="0.3">
      <c r="A7" s="45">
        <v>3</v>
      </c>
      <c r="B7" s="51" t="s">
        <v>86</v>
      </c>
      <c r="C7" s="228" t="s">
        <v>87</v>
      </c>
      <c r="D7" s="228"/>
      <c r="E7" s="47"/>
      <c r="F7" s="229" t="s">
        <v>88</v>
      </c>
      <c r="G7" s="229"/>
      <c r="H7" s="229"/>
      <c r="I7" s="48">
        <v>1</v>
      </c>
      <c r="J7" s="50">
        <v>75.900000000000006</v>
      </c>
      <c r="K7" s="49">
        <v>5</v>
      </c>
      <c r="L7" s="49">
        <v>1</v>
      </c>
      <c r="M7" s="50">
        <v>60</v>
      </c>
      <c r="N7" s="52">
        <v>267.96379999999999</v>
      </c>
      <c r="O7" s="71">
        <f t="shared" si="0"/>
        <v>1696.2108539999999</v>
      </c>
    </row>
    <row r="8" spans="1:15" ht="23.25" customHeight="1" x14ac:dyDescent="0.3">
      <c r="A8" s="45">
        <v>4</v>
      </c>
      <c r="B8" s="46" t="s">
        <v>89</v>
      </c>
      <c r="C8" s="228" t="s">
        <v>224</v>
      </c>
      <c r="D8" s="228"/>
      <c r="E8" s="47"/>
      <c r="F8" s="229" t="s">
        <v>88</v>
      </c>
      <c r="G8" s="229"/>
      <c r="H8" s="229"/>
      <c r="I8" s="48">
        <v>1</v>
      </c>
      <c r="J8" s="50">
        <v>75.900000000000006</v>
      </c>
      <c r="K8" s="49">
        <v>5</v>
      </c>
      <c r="L8" s="49">
        <v>1</v>
      </c>
      <c r="M8" s="50">
        <v>60</v>
      </c>
      <c r="N8" s="52">
        <v>299.77620000000002</v>
      </c>
      <c r="O8" s="71">
        <f t="shared" si="0"/>
        <v>1897.5833460000001</v>
      </c>
    </row>
    <row r="9" spans="1:15" x14ac:dyDescent="0.3">
      <c r="A9" s="231" t="s">
        <v>91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70">
        <f>SUM(O5:O8)</f>
        <v>5916.6517900000008</v>
      </c>
    </row>
    <row r="10" spans="1:15" x14ac:dyDescent="0.3">
      <c r="A10" s="53"/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  <c r="N10" s="57"/>
      <c r="O10" s="58"/>
    </row>
    <row r="11" spans="1:15" x14ac:dyDescent="0.3">
      <c r="A11" s="53"/>
      <c r="B11" s="55"/>
      <c r="C11" s="55"/>
      <c r="D11" s="59"/>
      <c r="E11" s="55"/>
      <c r="F11" s="59"/>
      <c r="G11" s="55"/>
      <c r="H11" s="59"/>
      <c r="I11" s="55"/>
      <c r="J11" s="59"/>
      <c r="K11" s="55"/>
      <c r="L11" s="230"/>
      <c r="M11" s="230"/>
      <c r="N11" s="57"/>
      <c r="O11" s="60"/>
    </row>
  </sheetData>
  <mergeCells count="17">
    <mergeCell ref="B1:N1"/>
    <mergeCell ref="A2:O2"/>
    <mergeCell ref="C3:D3"/>
    <mergeCell ref="F3:H3"/>
    <mergeCell ref="A4:B4"/>
    <mergeCell ref="C4:D4"/>
    <mergeCell ref="E4:H4"/>
    <mergeCell ref="C5:D5"/>
    <mergeCell ref="F5:H5"/>
    <mergeCell ref="C6:D6"/>
    <mergeCell ref="F6:H6"/>
    <mergeCell ref="L11:M11"/>
    <mergeCell ref="A9:N9"/>
    <mergeCell ref="C7:D7"/>
    <mergeCell ref="F7:H7"/>
    <mergeCell ref="C8:D8"/>
    <mergeCell ref="F8:H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FD6A-E32F-4F66-ABFA-BE8E23014536}">
  <sheetPr>
    <pageSetUpPr fitToPage="1"/>
  </sheetPr>
  <dimension ref="A1:I25"/>
  <sheetViews>
    <sheetView view="pageBreakPreview" zoomScale="60" zoomScaleNormal="100" workbookViewId="0">
      <selection activeCell="N12" sqref="N12"/>
    </sheetView>
  </sheetViews>
  <sheetFormatPr defaultRowHeight="14.4" x14ac:dyDescent="0.3"/>
  <cols>
    <col min="1" max="1" width="14.5546875" customWidth="1"/>
    <col min="2" max="2" width="60.33203125" customWidth="1"/>
    <col min="3" max="3" width="22.88671875" customWidth="1"/>
    <col min="4" max="4" width="21.6640625" customWidth="1"/>
    <col min="5" max="5" width="15.5546875" customWidth="1"/>
    <col min="6" max="6" width="17.44140625" customWidth="1"/>
    <col min="9" max="9" width="12.5546875" bestFit="1" customWidth="1"/>
  </cols>
  <sheetData>
    <row r="1" spans="1:9" ht="16.2" thickBot="1" x14ac:dyDescent="0.35">
      <c r="A1" s="241" t="s">
        <v>209</v>
      </c>
      <c r="B1" s="242"/>
      <c r="C1" s="242"/>
      <c r="D1" s="242"/>
      <c r="E1" s="242"/>
      <c r="F1" s="243"/>
    </row>
    <row r="2" spans="1:9" ht="15" thickBot="1" x14ac:dyDescent="0.35">
      <c r="A2" s="159"/>
      <c r="B2" s="160"/>
      <c r="C2" s="161"/>
      <c r="D2" s="161"/>
      <c r="E2" s="160"/>
      <c r="F2" s="162"/>
    </row>
    <row r="3" spans="1:9" ht="15" thickBot="1" x14ac:dyDescent="0.35">
      <c r="A3" s="244" t="s">
        <v>210</v>
      </c>
      <c r="B3" s="245"/>
      <c r="C3" s="245"/>
      <c r="D3" s="245"/>
      <c r="E3" s="245"/>
      <c r="F3" s="246"/>
    </row>
    <row r="4" spans="1:9" x14ac:dyDescent="0.3">
      <c r="A4" s="185" t="str">
        <f>Orçamento!A2</f>
        <v xml:space="preserve">Proponete: </v>
      </c>
      <c r="B4" s="186" t="str">
        <f>Orçamento!C2</f>
        <v>Prefeitura municipal de Bocaina de Minas</v>
      </c>
      <c r="C4" s="187" t="s">
        <v>211</v>
      </c>
      <c r="D4" s="247">
        <f>Orçamento!H61</f>
        <v>470343.63</v>
      </c>
      <c r="E4" s="247"/>
      <c r="F4" s="191" t="s">
        <v>233</v>
      </c>
    </row>
    <row r="5" spans="1:9" ht="30.6" customHeight="1" thickBot="1" x14ac:dyDescent="0.35">
      <c r="A5" s="183" t="str">
        <f>Orçamento!A3</f>
        <v xml:space="preserve">Obra/Projeto: </v>
      </c>
      <c r="B5" s="184" t="str">
        <f>Orçamento!C3</f>
        <v>Recuperação de estradas vicinais</v>
      </c>
      <c r="C5" s="182" t="str">
        <f>Orçamento!A4</f>
        <v xml:space="preserve">Local / Implantação: </v>
      </c>
      <c r="D5" s="251" t="str">
        <f>Orçamento!C4</f>
        <v>Comunidade de Mirantão</v>
      </c>
      <c r="E5" s="252"/>
      <c r="F5" s="163" t="s">
        <v>223</v>
      </c>
    </row>
    <row r="6" spans="1:9" x14ac:dyDescent="0.3">
      <c r="A6" s="164" t="s">
        <v>67</v>
      </c>
      <c r="B6" s="137" t="s">
        <v>212</v>
      </c>
      <c r="C6" s="138" t="s">
        <v>213</v>
      </c>
      <c r="D6" s="138" t="s">
        <v>214</v>
      </c>
      <c r="E6" s="137" t="s">
        <v>215</v>
      </c>
      <c r="F6" s="165" t="s">
        <v>216</v>
      </c>
    </row>
    <row r="7" spans="1:9" x14ac:dyDescent="0.3">
      <c r="A7" s="253">
        <v>1</v>
      </c>
      <c r="B7" s="262" t="str">
        <f>Orçamento!D8</f>
        <v>SERVIÇOS PRELIMINARES</v>
      </c>
      <c r="C7" s="139" t="s">
        <v>217</v>
      </c>
      <c r="D7" s="140">
        <f>D8/$D$16</f>
        <v>1.8838388069370049E-2</v>
      </c>
      <c r="E7" s="141">
        <v>1</v>
      </c>
      <c r="F7" s="166"/>
    </row>
    <row r="8" spans="1:9" x14ac:dyDescent="0.3">
      <c r="A8" s="254"/>
      <c r="B8" s="256"/>
      <c r="C8" s="142" t="s">
        <v>218</v>
      </c>
      <c r="D8" s="143">
        <f>Orçamento!H8*(1+Orçamento!$F$6)</f>
        <v>8860.5158699999993</v>
      </c>
      <c r="E8" s="143">
        <f>E7*D8</f>
        <v>8860.5158699999993</v>
      </c>
      <c r="F8" s="167"/>
    </row>
    <row r="9" spans="1:9" x14ac:dyDescent="0.3">
      <c r="A9" s="253">
        <v>2</v>
      </c>
      <c r="B9" s="262" t="str">
        <f>Orçamento!D11</f>
        <v>ADMINISTRAÇÃO DA OBRA</v>
      </c>
      <c r="C9" s="139" t="s">
        <v>217</v>
      </c>
      <c r="D9" s="140">
        <f>D10/$D$16</f>
        <v>4.7621134985003963E-2</v>
      </c>
      <c r="E9" s="141">
        <v>0.5</v>
      </c>
      <c r="F9" s="166">
        <v>0.5</v>
      </c>
    </row>
    <row r="10" spans="1:9" x14ac:dyDescent="0.3">
      <c r="A10" s="254"/>
      <c r="B10" s="256"/>
      <c r="C10" s="142" t="s">
        <v>218</v>
      </c>
      <c r="D10" s="143">
        <f>Orçamento!H11*(1+Orçamento!$F$6)</f>
        <v>22398.297599999998</v>
      </c>
      <c r="E10" s="143">
        <f>E9*D10</f>
        <v>11199.148799999999</v>
      </c>
      <c r="F10" s="167">
        <f>F9*D10</f>
        <v>11199.148799999999</v>
      </c>
    </row>
    <row r="11" spans="1:9" x14ac:dyDescent="0.3">
      <c r="A11" s="253">
        <v>3</v>
      </c>
      <c r="B11" s="262" t="str">
        <f>Orçamento!D14</f>
        <v>TERRAPLENAGEM</v>
      </c>
      <c r="C11" s="139" t="s">
        <v>217</v>
      </c>
      <c r="D11" s="140">
        <f>D12/$D$16</f>
        <v>8.4986140473627715E-3</v>
      </c>
      <c r="E11" s="141">
        <v>0.5</v>
      </c>
      <c r="F11" s="166">
        <v>0.5</v>
      </c>
    </row>
    <row r="12" spans="1:9" x14ac:dyDescent="0.3">
      <c r="A12" s="254"/>
      <c r="B12" s="256"/>
      <c r="C12" s="142" t="s">
        <v>218</v>
      </c>
      <c r="D12" s="143">
        <f>(Orçamento!H14+Orçamento!H23+Orçamento!H33+Orçamento!H42+Orçamento!H51)*(1+Orçamento!$F$6)</f>
        <v>3997.2690000000002</v>
      </c>
      <c r="E12" s="143">
        <f>E11*D12</f>
        <v>1998.6345000000001</v>
      </c>
      <c r="F12" s="167">
        <f>F11*D12</f>
        <v>1998.6345000000001</v>
      </c>
    </row>
    <row r="13" spans="1:9" x14ac:dyDescent="0.3">
      <c r="A13" s="253">
        <v>4</v>
      </c>
      <c r="B13" s="255" t="str">
        <f>Orçamento!D17</f>
        <v>REVESTIMENTO PRIMÁRIO</v>
      </c>
      <c r="C13" s="139" t="s">
        <v>217</v>
      </c>
      <c r="D13" s="140">
        <f>D14/$D$16</f>
        <v>0.92504186289826318</v>
      </c>
      <c r="E13" s="141">
        <v>0.5</v>
      </c>
      <c r="F13" s="166">
        <v>0.5</v>
      </c>
    </row>
    <row r="14" spans="1:9" x14ac:dyDescent="0.3">
      <c r="A14" s="254"/>
      <c r="B14" s="256"/>
      <c r="C14" s="142" t="s">
        <v>218</v>
      </c>
      <c r="D14" s="143">
        <f>(Orçamento!H17+Orçamento!H26+Orçamento!H36+Orçamento!H45+Orçamento!H54)*(1+Orçamento!$F$6)</f>
        <v>435087.549765</v>
      </c>
      <c r="E14" s="143">
        <f>E13*D14</f>
        <v>217543.7748825</v>
      </c>
      <c r="F14" s="167">
        <f>F13*D14</f>
        <v>217543.7748825</v>
      </c>
    </row>
    <row r="15" spans="1:9" x14ac:dyDescent="0.3">
      <c r="A15" s="257" t="s">
        <v>219</v>
      </c>
      <c r="B15" s="258"/>
      <c r="C15" s="144" t="s">
        <v>217</v>
      </c>
      <c r="D15" s="145">
        <f>(D8+D10+D12+D14)/D16</f>
        <v>1</v>
      </c>
      <c r="E15" s="145">
        <f>E16/D16</f>
        <v>0.50941919403468494</v>
      </c>
      <c r="F15" s="168">
        <f>F16/D16</f>
        <v>0.49058080596531489</v>
      </c>
      <c r="I15" s="188">
        <v>469470.96</v>
      </c>
    </row>
    <row r="16" spans="1:9" ht="15" thickBot="1" x14ac:dyDescent="0.35">
      <c r="A16" s="259"/>
      <c r="B16" s="260"/>
      <c r="C16" s="146" t="s">
        <v>218</v>
      </c>
      <c r="D16" s="147">
        <f>D8+D14+D10+D12</f>
        <v>470343.63223500003</v>
      </c>
      <c r="E16" s="147">
        <f>E8+E14+E12+E10</f>
        <v>239602.07405249999</v>
      </c>
      <c r="F16" s="169">
        <f>F8+F14+F12+F10</f>
        <v>230741.55818249998</v>
      </c>
    </row>
    <row r="17" spans="1:6" x14ac:dyDescent="0.3">
      <c r="A17" s="170"/>
      <c r="B17" s="148"/>
      <c r="C17" s="149"/>
      <c r="D17" s="149"/>
      <c r="E17" s="148"/>
      <c r="F17" s="171"/>
    </row>
    <row r="18" spans="1:6" x14ac:dyDescent="0.3">
      <c r="A18" s="150"/>
      <c r="B18" s="172"/>
      <c r="C18" s="172"/>
      <c r="D18" s="172"/>
      <c r="E18" s="172"/>
      <c r="F18" s="173"/>
    </row>
    <row r="19" spans="1:6" x14ac:dyDescent="0.3">
      <c r="A19" s="150"/>
      <c r="B19" s="148"/>
      <c r="C19" s="172"/>
      <c r="D19" s="261" t="s">
        <v>220</v>
      </c>
      <c r="E19" s="261"/>
      <c r="F19" s="174"/>
    </row>
    <row r="20" spans="1:6" x14ac:dyDescent="0.3">
      <c r="A20" s="151"/>
      <c r="B20" s="248"/>
      <c r="C20" s="175"/>
      <c r="D20" s="250" t="s">
        <v>221</v>
      </c>
      <c r="E20" s="250"/>
      <c r="F20" s="174"/>
    </row>
    <row r="21" spans="1:6" x14ac:dyDescent="0.3">
      <c r="A21" s="152"/>
      <c r="B21" s="249"/>
      <c r="C21" s="175"/>
      <c r="D21" s="175"/>
      <c r="E21" s="176"/>
      <c r="F21" s="174"/>
    </row>
    <row r="22" spans="1:6" x14ac:dyDescent="0.3">
      <c r="A22" s="152"/>
      <c r="B22" s="177"/>
      <c r="C22" s="175"/>
      <c r="D22" s="175"/>
      <c r="E22" s="176"/>
      <c r="F22" s="174"/>
    </row>
    <row r="23" spans="1:6" x14ac:dyDescent="0.3">
      <c r="A23" s="152"/>
      <c r="B23" s="177"/>
      <c r="C23" s="175"/>
      <c r="D23" s="175"/>
      <c r="E23" s="176"/>
      <c r="F23" s="174"/>
    </row>
    <row r="24" spans="1:6" x14ac:dyDescent="0.3">
      <c r="A24" s="153"/>
      <c r="B24" s="154"/>
      <c r="C24" s="178"/>
      <c r="D24" s="178"/>
      <c r="E24" s="179"/>
      <c r="F24" s="180"/>
    </row>
    <row r="25" spans="1:6" ht="15" thickBot="1" x14ac:dyDescent="0.35">
      <c r="A25" s="155"/>
      <c r="B25" s="156"/>
      <c r="C25" s="157"/>
      <c r="D25" s="157"/>
      <c r="E25" s="158"/>
      <c r="F25" s="181"/>
    </row>
  </sheetData>
  <mergeCells count="16">
    <mergeCell ref="A1:F1"/>
    <mergeCell ref="A3:F3"/>
    <mergeCell ref="D4:E4"/>
    <mergeCell ref="B20:B21"/>
    <mergeCell ref="D20:E20"/>
    <mergeCell ref="D5:E5"/>
    <mergeCell ref="A13:A14"/>
    <mergeCell ref="B13:B14"/>
    <mergeCell ref="A15:B16"/>
    <mergeCell ref="D19:E19"/>
    <mergeCell ref="A7:A8"/>
    <mergeCell ref="B7:B8"/>
    <mergeCell ref="A9:A10"/>
    <mergeCell ref="B9:B10"/>
    <mergeCell ref="A11:A12"/>
    <mergeCell ref="B11:B12"/>
  </mergeCells>
  <pageMargins left="0.511811024" right="0.511811024" top="0.78740157499999996" bottom="0.78740157499999996" header="0.31496062000000002" footer="0.31496062000000002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BA83-EE9E-4EAE-9FAB-BDDCB0ABAFBF}">
  <sheetPr>
    <pageSetUpPr fitToPage="1"/>
  </sheetPr>
  <dimension ref="A1:M43"/>
  <sheetViews>
    <sheetView topLeftCell="A22" workbookViewId="0">
      <selection sqref="A1:J42"/>
    </sheetView>
  </sheetViews>
  <sheetFormatPr defaultRowHeight="14.4" x14ac:dyDescent="0.3"/>
  <cols>
    <col min="1" max="1" width="11.44140625" customWidth="1"/>
    <col min="2" max="2" width="5.33203125" customWidth="1"/>
    <col min="3" max="3" width="12.109375" customWidth="1"/>
    <col min="4" max="4" width="11.5546875" customWidth="1"/>
    <col min="6" max="6" width="12.44140625" customWidth="1"/>
    <col min="7" max="7" width="11.33203125" customWidth="1"/>
    <col min="8" max="8" width="12.5546875" customWidth="1"/>
    <col min="9" max="9" width="10" customWidth="1"/>
    <col min="10" max="10" width="10.88671875" customWidth="1"/>
  </cols>
  <sheetData>
    <row r="1" spans="1:10" ht="22.8" x14ac:dyDescent="0.3">
      <c r="A1" s="263" t="s">
        <v>92</v>
      </c>
      <c r="B1" s="264"/>
      <c r="C1" s="264"/>
      <c r="D1" s="264"/>
      <c r="E1" s="264"/>
      <c r="F1" s="264"/>
      <c r="G1" s="264"/>
      <c r="H1" s="264"/>
      <c r="I1" s="264"/>
      <c r="J1" s="265"/>
    </row>
    <row r="2" spans="1:10" x14ac:dyDescent="0.3">
      <c r="A2" s="72"/>
      <c r="B2" s="73"/>
      <c r="C2" s="73"/>
      <c r="D2" s="73"/>
      <c r="E2" s="73"/>
      <c r="F2" s="73"/>
      <c r="G2" s="73"/>
      <c r="H2" s="73"/>
      <c r="I2" s="73"/>
      <c r="J2" s="74"/>
    </row>
    <row r="3" spans="1:10" x14ac:dyDescent="0.3">
      <c r="A3" s="269" t="s">
        <v>132</v>
      </c>
      <c r="B3" s="269"/>
      <c r="C3" t="str">
        <f>Orçamento!C2</f>
        <v>Prefeitura municipal de Bocaina de Minas</v>
      </c>
      <c r="D3" s="97"/>
      <c r="E3" s="97"/>
      <c r="F3" s="97"/>
      <c r="G3" s="97"/>
      <c r="H3" s="97"/>
      <c r="I3" s="97"/>
      <c r="J3" s="97"/>
    </row>
    <row r="4" spans="1:10" x14ac:dyDescent="0.3">
      <c r="A4" s="269" t="s">
        <v>134</v>
      </c>
      <c r="B4" s="269"/>
      <c r="C4" s="97" t="str">
        <f>Orçamento!C3</f>
        <v>Recuperação de estradas vicinais</v>
      </c>
      <c r="D4" s="97"/>
      <c r="E4" s="97"/>
      <c r="F4" s="97"/>
      <c r="G4" s="97"/>
      <c r="H4" s="97"/>
      <c r="I4" s="97"/>
      <c r="J4" s="97"/>
    </row>
    <row r="5" spans="1:10" ht="6.75" customHeight="1" x14ac:dyDescent="0.3"/>
    <row r="6" spans="1:10" x14ac:dyDescent="0.3">
      <c r="A6" s="286" t="s">
        <v>93</v>
      </c>
      <c r="B6" s="269"/>
      <c r="C6" s="269"/>
      <c r="D6" s="269"/>
      <c r="E6" s="269"/>
      <c r="F6" s="269"/>
      <c r="G6" s="269"/>
      <c r="H6" s="269"/>
      <c r="I6" s="287" t="s">
        <v>94</v>
      </c>
      <c r="J6" s="288"/>
    </row>
    <row r="7" spans="1:10" x14ac:dyDescent="0.3">
      <c r="A7" s="289" t="s">
        <v>95</v>
      </c>
      <c r="B7" s="290"/>
      <c r="C7" s="290"/>
      <c r="D7" s="290"/>
      <c r="E7" s="290"/>
      <c r="F7" s="290"/>
      <c r="G7" s="290"/>
      <c r="H7" s="291"/>
      <c r="I7" s="292" t="s">
        <v>229</v>
      </c>
      <c r="J7" s="293"/>
    </row>
    <row r="8" spans="1:10" x14ac:dyDescent="0.3">
      <c r="A8" s="76"/>
      <c r="B8" s="76"/>
      <c r="C8" s="76"/>
      <c r="D8" s="76"/>
      <c r="E8" s="76"/>
      <c r="F8" s="76"/>
      <c r="G8" s="76"/>
      <c r="H8" s="76"/>
      <c r="I8" s="76"/>
      <c r="J8" s="76"/>
    </row>
    <row r="9" spans="1:10" x14ac:dyDescent="0.3">
      <c r="A9" s="294" t="s">
        <v>96</v>
      </c>
      <c r="B9" s="294"/>
      <c r="C9" s="294"/>
      <c r="D9" s="294"/>
      <c r="E9" s="294"/>
      <c r="F9" s="294"/>
      <c r="G9" s="294"/>
      <c r="H9" s="294"/>
      <c r="I9" s="295">
        <v>1</v>
      </c>
      <c r="J9" s="295"/>
    </row>
    <row r="10" spans="1:10" x14ac:dyDescent="0.3">
      <c r="A10" s="296" t="s">
        <v>97</v>
      </c>
      <c r="B10" s="296"/>
      <c r="C10" s="296"/>
      <c r="D10" s="296"/>
      <c r="E10" s="296"/>
      <c r="F10" s="296"/>
      <c r="G10" s="296"/>
      <c r="H10" s="296"/>
      <c r="I10" s="295">
        <v>2.5000000000000001E-2</v>
      </c>
      <c r="J10" s="295"/>
    </row>
    <row r="11" spans="1:10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</row>
    <row r="12" spans="1:10" x14ac:dyDescent="0.3">
      <c r="A12" s="297" t="s">
        <v>98</v>
      </c>
      <c r="B12" s="297"/>
      <c r="C12" s="297"/>
      <c r="D12" s="297"/>
      <c r="E12" s="297" t="s">
        <v>99</v>
      </c>
      <c r="F12" s="298" t="s">
        <v>100</v>
      </c>
      <c r="G12" s="298" t="s">
        <v>101</v>
      </c>
      <c r="H12" s="297" t="s">
        <v>102</v>
      </c>
      <c r="I12" s="297" t="s">
        <v>103</v>
      </c>
      <c r="J12" s="297" t="s">
        <v>104</v>
      </c>
    </row>
    <row r="13" spans="1:10" x14ac:dyDescent="0.3">
      <c r="A13" s="297"/>
      <c r="B13" s="297"/>
      <c r="C13" s="297"/>
      <c r="D13" s="297"/>
      <c r="E13" s="297"/>
      <c r="F13" s="298"/>
      <c r="G13" s="298"/>
      <c r="H13" s="297"/>
      <c r="I13" s="297"/>
      <c r="J13" s="297"/>
    </row>
    <row r="14" spans="1:10" x14ac:dyDescent="0.3">
      <c r="A14" s="277" t="s">
        <v>105</v>
      </c>
      <c r="B14" s="277"/>
      <c r="C14" s="277"/>
      <c r="D14" s="277"/>
      <c r="E14" s="77" t="s">
        <v>106</v>
      </c>
      <c r="F14" s="78">
        <v>4.0099999999999997E-2</v>
      </c>
      <c r="G14" s="79" t="str">
        <f>IF(F14=0," ",IF(F14&lt;H14,"ERRO",(IF(F14&gt;J14,"ERRO","OK!"))))</f>
        <v>OK!</v>
      </c>
      <c r="H14" s="91">
        <v>3.7999999999999999E-2</v>
      </c>
      <c r="I14" s="91">
        <v>4.0099999999999997E-2</v>
      </c>
      <c r="J14" s="91">
        <v>4.6699999999999998E-2</v>
      </c>
    </row>
    <row r="15" spans="1:10" x14ac:dyDescent="0.3">
      <c r="A15" s="277" t="s">
        <v>107</v>
      </c>
      <c r="B15" s="277"/>
      <c r="C15" s="277"/>
      <c r="D15" s="277"/>
      <c r="E15" s="77" t="s">
        <v>108</v>
      </c>
      <c r="F15" s="78">
        <v>4.0000000000000001E-3</v>
      </c>
      <c r="G15" s="79" t="str">
        <f t="shared" ref="G15:G20" si="0">IF(F15=0," ",IF(F15&lt;H15,"ERRO",(IF(F15&gt;J15,"ERRO","OK!"))))</f>
        <v>OK!</v>
      </c>
      <c r="H15" s="91">
        <v>3.2000000000000002E-3</v>
      </c>
      <c r="I15" s="91">
        <v>4.0000000000000001E-3</v>
      </c>
      <c r="J15" s="91">
        <v>7.4000000000000003E-3</v>
      </c>
    </row>
    <row r="16" spans="1:10" x14ac:dyDescent="0.3">
      <c r="A16" s="277" t="s">
        <v>109</v>
      </c>
      <c r="B16" s="277"/>
      <c r="C16" s="277"/>
      <c r="D16" s="277"/>
      <c r="E16" s="77" t="s">
        <v>110</v>
      </c>
      <c r="F16" s="78">
        <v>5.5999999999999999E-3</v>
      </c>
      <c r="G16" s="79" t="str">
        <f t="shared" si="0"/>
        <v>OK!</v>
      </c>
      <c r="H16" s="91">
        <v>5.0000000000000001E-3</v>
      </c>
      <c r="I16" s="91">
        <v>5.6000000000000008E-3</v>
      </c>
      <c r="J16" s="91">
        <v>9.7000000000000003E-3</v>
      </c>
    </row>
    <row r="17" spans="1:12" x14ac:dyDescent="0.3">
      <c r="A17" s="277" t="s">
        <v>111</v>
      </c>
      <c r="B17" s="277"/>
      <c r="C17" s="277"/>
      <c r="D17" s="277"/>
      <c r="E17" s="77" t="s">
        <v>112</v>
      </c>
      <c r="F17" s="78">
        <v>1.11E-2</v>
      </c>
      <c r="G17" s="79" t="str">
        <f t="shared" si="0"/>
        <v>OK!</v>
      </c>
      <c r="H17" s="91">
        <v>1.0200000000000001E-2</v>
      </c>
      <c r="I17" s="91">
        <v>1.11E-2</v>
      </c>
      <c r="J17" s="91">
        <v>1.21E-2</v>
      </c>
    </row>
    <row r="18" spans="1:12" x14ac:dyDescent="0.3">
      <c r="A18" s="277" t="s">
        <v>113</v>
      </c>
      <c r="B18" s="277"/>
      <c r="C18" s="277"/>
      <c r="D18" s="277"/>
      <c r="E18" s="77" t="s">
        <v>114</v>
      </c>
      <c r="F18" s="78">
        <v>7.2999999999999995E-2</v>
      </c>
      <c r="G18" s="79" t="str">
        <f t="shared" si="0"/>
        <v>OK!</v>
      </c>
      <c r="H18" s="91">
        <v>6.6400000000000001E-2</v>
      </c>
      <c r="I18" s="91">
        <v>7.2999999999999995E-2</v>
      </c>
      <c r="J18" s="91">
        <v>8.6899999999999991E-2</v>
      </c>
    </row>
    <row r="19" spans="1:12" x14ac:dyDescent="0.3">
      <c r="A19" s="285" t="s">
        <v>115</v>
      </c>
      <c r="B19" s="285"/>
      <c r="C19" s="285"/>
      <c r="D19" s="285"/>
      <c r="E19" s="77" t="s">
        <v>116</v>
      </c>
      <c r="F19" s="78">
        <v>3.6499999999999998E-2</v>
      </c>
      <c r="G19" s="79" t="str">
        <f t="shared" si="0"/>
        <v>OK!</v>
      </c>
      <c r="H19" s="91">
        <v>3.6499999999999998E-2</v>
      </c>
      <c r="I19" s="91">
        <v>3.6499999999999998E-2</v>
      </c>
      <c r="J19" s="91">
        <v>3.6499999999999998E-2</v>
      </c>
    </row>
    <row r="20" spans="1:12" ht="29.25" customHeight="1" x14ac:dyDescent="0.3">
      <c r="A20" s="277" t="s">
        <v>117</v>
      </c>
      <c r="B20" s="277"/>
      <c r="C20" s="277"/>
      <c r="D20" s="277"/>
      <c r="E20" s="77" t="s">
        <v>118</v>
      </c>
      <c r="F20" s="80">
        <f>I10</f>
        <v>2.5000000000000001E-2</v>
      </c>
      <c r="G20" s="79" t="str">
        <f t="shared" si="0"/>
        <v>OK!</v>
      </c>
      <c r="H20" s="91">
        <v>1.4999999999999999E-2</v>
      </c>
      <c r="I20" s="91">
        <v>0.03</v>
      </c>
      <c r="J20" s="91">
        <v>0.05</v>
      </c>
    </row>
    <row r="21" spans="1:12" ht="44.4" customHeight="1" x14ac:dyDescent="0.3">
      <c r="A21" s="277" t="s">
        <v>119</v>
      </c>
      <c r="B21" s="277"/>
      <c r="C21" s="277"/>
      <c r="D21" s="277"/>
      <c r="E21" s="77" t="s">
        <v>120</v>
      </c>
      <c r="F21" s="80">
        <v>4.4999999999999998E-2</v>
      </c>
      <c r="G21" s="79" t="str">
        <f t="shared" ref="G21:G22" si="1">IF(F21=0," ",IF(F21&lt;I21,"ERRO",(IF(F21&gt;J21,"ERRO","OK!"))))</f>
        <v>OK!</v>
      </c>
      <c r="H21" s="92">
        <v>4.4999999999999998E-2</v>
      </c>
      <c r="I21" s="92">
        <v>4.4999999999999998E-2</v>
      </c>
      <c r="J21" s="92">
        <v>4.4999999999999998E-2</v>
      </c>
    </row>
    <row r="22" spans="1:12" ht="34.5" customHeight="1" x14ac:dyDescent="0.3">
      <c r="A22" s="278" t="s">
        <v>121</v>
      </c>
      <c r="B22" s="278"/>
      <c r="C22" s="278"/>
      <c r="D22" s="278"/>
      <c r="E22" s="81" t="s">
        <v>131</v>
      </c>
      <c r="F22" s="80">
        <f>ROUND((((1+F14+F15+F16)*(1+F17)*(1+F18)/(1-(F19+F20)))-1),4)</f>
        <v>0.2135</v>
      </c>
      <c r="G22" s="79" t="str">
        <f t="shared" si="1"/>
        <v>OK!</v>
      </c>
      <c r="H22" s="91">
        <v>0.19600000000000001</v>
      </c>
      <c r="I22" s="91">
        <v>0.2097</v>
      </c>
      <c r="J22" s="91">
        <v>0.24230000000000002</v>
      </c>
    </row>
    <row r="23" spans="1:12" ht="27.75" customHeight="1" x14ac:dyDescent="0.3">
      <c r="A23" s="278" t="s">
        <v>122</v>
      </c>
      <c r="B23" s="278"/>
      <c r="C23" s="278"/>
      <c r="D23" s="278"/>
      <c r="E23" s="81" t="s">
        <v>131</v>
      </c>
      <c r="F23" s="80">
        <f>ROUND((((1+F14+F15+F16)*(1+F17)*(1+F18)/(1-(F19+F20+F21)))-1),4)</f>
        <v>0.27460000000000001</v>
      </c>
      <c r="G23" s="79"/>
      <c r="H23" s="95"/>
      <c r="I23" s="95"/>
      <c r="J23" s="95"/>
      <c r="L23" t="s">
        <v>133</v>
      </c>
    </row>
    <row r="24" spans="1:12" x14ac:dyDescent="0.3">
      <c r="A24" s="93"/>
      <c r="B24" s="93"/>
      <c r="C24" s="93"/>
      <c r="D24" s="93"/>
      <c r="E24" s="82"/>
      <c r="F24" s="83"/>
      <c r="G24" s="84"/>
      <c r="H24" s="94"/>
      <c r="I24" s="94"/>
      <c r="J24" s="94"/>
    </row>
    <row r="25" spans="1:12" x14ac:dyDescent="0.3">
      <c r="A25" s="279" t="s">
        <v>123</v>
      </c>
      <c r="B25" s="279"/>
      <c r="C25" s="279"/>
      <c r="D25" s="279"/>
      <c r="E25" s="279"/>
      <c r="F25" s="279"/>
      <c r="G25" s="279"/>
      <c r="H25" s="279"/>
      <c r="I25" s="279"/>
      <c r="J25" s="279"/>
    </row>
    <row r="26" spans="1:12" x14ac:dyDescent="0.3">
      <c r="A26" s="76"/>
      <c r="B26" s="76"/>
      <c r="C26" s="76"/>
      <c r="D26" s="76"/>
      <c r="E26" s="76"/>
      <c r="F26" s="76"/>
      <c r="G26" s="76"/>
      <c r="H26" s="76"/>
      <c r="I26" s="76"/>
      <c r="J26" s="76"/>
    </row>
    <row r="28" spans="1:12" x14ac:dyDescent="0.3">
      <c r="A28" s="85"/>
      <c r="B28" s="86"/>
      <c r="C28" s="86"/>
      <c r="D28" s="280"/>
      <c r="E28" s="281"/>
      <c r="F28" s="281"/>
      <c r="G28" s="281"/>
      <c r="H28" s="282"/>
      <c r="I28" s="86"/>
      <c r="J28" s="86"/>
    </row>
    <row r="29" spans="1:12" x14ac:dyDescent="0.3">
      <c r="A29" s="86"/>
      <c r="B29" s="86"/>
      <c r="C29" s="86"/>
      <c r="D29" s="280"/>
      <c r="E29" s="284"/>
      <c r="F29" s="284"/>
      <c r="G29" s="284"/>
      <c r="H29" s="283"/>
      <c r="I29" s="86"/>
      <c r="J29" s="86"/>
    </row>
    <row r="30" spans="1:12" x14ac:dyDescent="0.3">
      <c r="A30" s="87"/>
      <c r="B30" s="87"/>
      <c r="C30" s="87"/>
      <c r="D30" s="87"/>
      <c r="E30" s="87"/>
      <c r="F30" s="87"/>
      <c r="G30" s="87"/>
      <c r="H30" s="87"/>
      <c r="I30" s="87"/>
      <c r="J30" s="87"/>
    </row>
    <row r="31" spans="1:12" ht="22.5" customHeight="1" x14ac:dyDescent="0.3">
      <c r="A31" s="267" t="str">
        <f>CONCATENATE("Declaro para os devidos fins que, conforme legislação tributária municipal, a base de cálculo para ",A7,", é de ",I9*100,"%, com a respectiva alíquota de ",I10*100,"%.")</f>
        <v>Declaro para os devidos fins que, conforme legislação tributária municipal, a base de cálculo para Construção de Praças Urbanas, Rodovias, Ferrovias e recapeamento e pavimentação de vias urbanas, é de 100%, com a respectiva alíquota de 2,5%.</v>
      </c>
      <c r="B31" s="267"/>
      <c r="C31" s="267"/>
      <c r="D31" s="267"/>
      <c r="E31" s="267"/>
      <c r="F31" s="267"/>
      <c r="G31" s="267"/>
      <c r="H31" s="267"/>
      <c r="I31" s="267"/>
      <c r="J31" s="267"/>
    </row>
    <row r="32" spans="1:12" ht="21" customHeight="1" x14ac:dyDescent="0.3">
      <c r="A32" s="268"/>
      <c r="B32" s="268"/>
      <c r="C32" s="268"/>
      <c r="D32" s="268"/>
      <c r="E32" s="268"/>
      <c r="F32" s="268"/>
      <c r="G32" s="268"/>
      <c r="H32" s="268"/>
      <c r="I32" s="268"/>
      <c r="J32" s="268"/>
    </row>
    <row r="33" spans="1:13" ht="8.25" customHeight="1" x14ac:dyDescent="0.3">
      <c r="A33" s="76"/>
      <c r="B33" s="76"/>
      <c r="C33" s="76"/>
      <c r="D33" s="76"/>
      <c r="E33" s="76"/>
      <c r="F33" s="76"/>
      <c r="G33" s="76"/>
      <c r="H33" s="76"/>
      <c r="I33" s="76"/>
      <c r="J33" s="76"/>
    </row>
    <row r="34" spans="1:13" ht="21" customHeight="1" x14ac:dyDescent="0.3">
      <c r="A34" s="267" t="str">
        <f>CONCATENATE("Declaro para os devidos fins que o regime de Contribuição Previdenciária sobre a Receita Bruta adotado para elaboração do orçamento foi ",IF(I7="Sim","COM","SEM")," Desoneração, e que esta é a alternativa mais adequada para a Administração Pública.")</f>
        <v>Declaro para os devidos fins que o regime de Contribuição Previdenciária sobre a Receita Bruta adotado para elaboração do orçamento foi SEM Desoneração, e que esta é a alternativa mais adequada para a Administração Pública.</v>
      </c>
      <c r="B34" s="267"/>
      <c r="C34" s="267"/>
      <c r="D34" s="267"/>
      <c r="E34" s="267"/>
      <c r="F34" s="267"/>
      <c r="G34" s="267"/>
      <c r="H34" s="267"/>
      <c r="I34" s="267"/>
      <c r="J34" s="267"/>
    </row>
    <row r="35" spans="1:13" ht="25.5" customHeight="1" x14ac:dyDescent="0.3">
      <c r="A35" s="268"/>
      <c r="B35" s="268"/>
      <c r="C35" s="268"/>
      <c r="D35" s="268"/>
      <c r="E35" s="268"/>
      <c r="F35" s="268"/>
      <c r="G35" s="268"/>
      <c r="H35" s="268"/>
      <c r="I35" s="268"/>
      <c r="J35" s="268"/>
      <c r="M35" s="96"/>
    </row>
    <row r="36" spans="1:13" ht="27" customHeight="1" x14ac:dyDescent="0.3">
      <c r="A36" s="274"/>
      <c r="B36" s="274"/>
      <c r="C36" s="274"/>
      <c r="D36" s="274"/>
      <c r="E36" s="76"/>
      <c r="F36" s="76"/>
      <c r="G36" s="275"/>
      <c r="H36" s="275"/>
      <c r="I36" s="275"/>
      <c r="J36" s="275"/>
    </row>
    <row r="37" spans="1:13" x14ac:dyDescent="0.3">
      <c r="A37" s="276" t="s">
        <v>225</v>
      </c>
      <c r="B37" s="276"/>
      <c r="C37" s="276"/>
      <c r="D37" s="276"/>
      <c r="E37" s="76"/>
      <c r="F37" s="88"/>
      <c r="G37" s="89" t="s">
        <v>124</v>
      </c>
      <c r="H37" s="190">
        <v>45237</v>
      </c>
      <c r="I37" s="73"/>
      <c r="J37" s="73"/>
    </row>
    <row r="38" spans="1:13" x14ac:dyDescent="0.3">
      <c r="A38" s="76"/>
      <c r="B38" s="76"/>
      <c r="C38" s="76"/>
      <c r="D38" s="76"/>
      <c r="E38" s="76"/>
      <c r="F38" s="76"/>
      <c r="G38" s="76"/>
      <c r="H38" s="76"/>
      <c r="I38" s="76"/>
      <c r="J38" s="76"/>
    </row>
    <row r="39" spans="1:13" x14ac:dyDescent="0.3">
      <c r="A39" s="276"/>
      <c r="B39" s="276"/>
      <c r="C39" s="276"/>
      <c r="D39" s="276"/>
      <c r="E39" s="76"/>
      <c r="F39" s="76"/>
      <c r="G39" s="276"/>
      <c r="H39" s="276"/>
      <c r="I39" s="276"/>
      <c r="J39" s="276"/>
    </row>
    <row r="40" spans="1:13" x14ac:dyDescent="0.3">
      <c r="A40" s="270" t="s">
        <v>125</v>
      </c>
      <c r="B40" s="270"/>
      <c r="C40" s="270"/>
      <c r="D40" s="270"/>
      <c r="E40" s="76"/>
      <c r="F40" s="76"/>
      <c r="G40" s="270" t="s">
        <v>126</v>
      </c>
      <c r="H40" s="270"/>
      <c r="I40" s="270"/>
      <c r="J40" s="270"/>
    </row>
    <row r="41" spans="1:13" x14ac:dyDescent="0.3">
      <c r="A41" s="90" t="s">
        <v>127</v>
      </c>
      <c r="B41" s="271" t="s">
        <v>150</v>
      </c>
      <c r="C41" s="271"/>
      <c r="D41" s="271"/>
      <c r="E41" s="76"/>
      <c r="F41" s="76"/>
      <c r="G41" s="75" t="s">
        <v>127</v>
      </c>
      <c r="H41" s="272" t="s">
        <v>154</v>
      </c>
      <c r="I41" s="272"/>
      <c r="J41" s="272"/>
    </row>
    <row r="42" spans="1:13" x14ac:dyDescent="0.3">
      <c r="A42" s="90" t="s">
        <v>128</v>
      </c>
      <c r="B42" s="273" t="s">
        <v>151</v>
      </c>
      <c r="C42" s="273"/>
      <c r="D42" s="273"/>
      <c r="E42" s="76"/>
      <c r="F42" s="76"/>
      <c r="G42" s="75" t="s">
        <v>129</v>
      </c>
      <c r="H42" s="272" t="s">
        <v>153</v>
      </c>
      <c r="I42" s="272"/>
      <c r="J42" s="272"/>
    </row>
    <row r="43" spans="1:13" x14ac:dyDescent="0.3">
      <c r="A43" s="75" t="s">
        <v>130</v>
      </c>
      <c r="B43" s="266" t="s">
        <v>152</v>
      </c>
      <c r="C43" s="266"/>
      <c r="D43" s="266"/>
      <c r="E43" s="76"/>
      <c r="F43" s="76"/>
      <c r="G43" s="76"/>
      <c r="H43" s="76"/>
      <c r="I43" s="76"/>
      <c r="J43" s="76"/>
    </row>
  </sheetData>
  <mergeCells count="47">
    <mergeCell ref="A6:H6"/>
    <mergeCell ref="I6:J6"/>
    <mergeCell ref="A7:H7"/>
    <mergeCell ref="I7:J7"/>
    <mergeCell ref="A18:D18"/>
    <mergeCell ref="A9:H9"/>
    <mergeCell ref="I9:J9"/>
    <mergeCell ref="A10:H10"/>
    <mergeCell ref="I10:J10"/>
    <mergeCell ref="A12:D13"/>
    <mergeCell ref="E12:E13"/>
    <mergeCell ref="F12:F13"/>
    <mergeCell ref="G12:G13"/>
    <mergeCell ref="H12:H13"/>
    <mergeCell ref="I12:I13"/>
    <mergeCell ref="J12:J13"/>
    <mergeCell ref="A14:D14"/>
    <mergeCell ref="A15:D15"/>
    <mergeCell ref="A16:D16"/>
    <mergeCell ref="A17:D17"/>
    <mergeCell ref="A19:D19"/>
    <mergeCell ref="A20:D20"/>
    <mergeCell ref="A21:D21"/>
    <mergeCell ref="A22:D22"/>
    <mergeCell ref="A23:D23"/>
    <mergeCell ref="G39:J39"/>
    <mergeCell ref="A25:J25"/>
    <mergeCell ref="D28:D29"/>
    <mergeCell ref="E28:G28"/>
    <mergeCell ref="H28:H29"/>
    <mergeCell ref="E29:G29"/>
    <mergeCell ref="A1:J1"/>
    <mergeCell ref="B43:D43"/>
    <mergeCell ref="A31:J32"/>
    <mergeCell ref="A34:J35"/>
    <mergeCell ref="A3:B3"/>
    <mergeCell ref="A4:B4"/>
    <mergeCell ref="A40:D40"/>
    <mergeCell ref="G40:J40"/>
    <mergeCell ref="B41:D41"/>
    <mergeCell ref="H41:J41"/>
    <mergeCell ref="B42:D42"/>
    <mergeCell ref="H42:J42"/>
    <mergeCell ref="A36:D36"/>
    <mergeCell ref="G36:J36"/>
    <mergeCell ref="A37:D37"/>
    <mergeCell ref="A39:D39"/>
  </mergeCells>
  <conditionalFormatting sqref="A23:D23 F23 A24:G24">
    <cfRule type="expression" dxfId="4" priority="2" stopIfTrue="1">
      <formula>$R$9="sim"</formula>
    </cfRule>
  </conditionalFormatting>
  <conditionalFormatting sqref="A22:F22">
    <cfRule type="expression" dxfId="3" priority="6" stopIfTrue="1">
      <formula>$R$9="Não"</formula>
    </cfRule>
  </conditionalFormatting>
  <conditionalFormatting sqref="E23">
    <cfRule type="expression" dxfId="2" priority="1" stopIfTrue="1">
      <formula>$R$9="Não"</formula>
    </cfRule>
  </conditionalFormatting>
  <conditionalFormatting sqref="H23:J24">
    <cfRule type="expression" dxfId="1" priority="5" stopIfTrue="1">
      <formula>$R$9="sim"</formula>
    </cfRule>
  </conditionalFormatting>
  <conditionalFormatting sqref="H41:J42">
    <cfRule type="expression" dxfId="0" priority="4" stopIfTrue="1">
      <formula>H41=""</formula>
    </cfRule>
  </conditionalFormatting>
  <dataValidations count="6">
    <dataValidation type="decimal" allowBlank="1" showInputMessage="1" showErrorMessage="1" errorTitle="Erro de valores" error="Digite um valor entre 0% e 100%" sqref="F14:F19" xr:uid="{7FC61152-F233-4877-B707-25392D256F4B}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I10:J10" xr:uid="{8A48CCE9-CC13-480C-979B-450515CDC852}">
      <formula1>0</formula1>
    </dataValidation>
    <dataValidation type="decimal" allowBlank="1" showInputMessage="1" showErrorMessage="1" errorTitle="Valor não permitido" error="Digite um percentual entre 0% e 100%." promptTitle="Valores admissíveis:" prompt="Insira valores entre 0 e 100%." sqref="I9:J9" xr:uid="{CF2771F6-2D4A-42E8-974A-C8006B9E3176}">
      <formula1>0</formula1>
      <formula2>1</formula2>
    </dataValidation>
    <dataValidation type="decimal" allowBlank="1" showInputMessage="1" showErrorMessage="1" errorTitle="Erro de valores" error="Digite um valor maior do que 0." sqref="F20" xr:uid="{B4547461-51E7-43C6-9BE7-255C4D1CF77C}">
      <formula1>0</formula1>
      <formula2>1</formula2>
    </dataValidation>
    <dataValidation operator="greaterThanOrEqual" allowBlank="1" showInputMessage="1" showErrorMessage="1" errorTitle="Erro de valores" error="Digite um valor igual a 0% ou 2%." sqref="F21" xr:uid="{8A3CB3E4-35D2-47CB-9FA5-3121A21F7B0A}"/>
    <dataValidation type="list" allowBlank="1" showInputMessage="1" showErrorMessage="1" sqref="A7:H7" xr:uid="{3500BD5E-DAA1-4111-B498-D5377CAA8AF8}">
      <formula1>$A$48:$A$55</formula1>
    </dataValidation>
  </dataValidations>
  <printOptions horizontalCentered="1"/>
  <pageMargins left="0.78740157480314965" right="0" top="0.59055118110236227" bottom="0" header="0" footer="0"/>
  <pageSetup paperSize="9" scale="76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AA7B-3E81-4013-8412-4CAF7CBAF057}">
  <dimension ref="A1:G58"/>
  <sheetViews>
    <sheetView view="pageBreakPreview" topLeftCell="A41" zoomScaleNormal="100" zoomScaleSheetLayoutView="100" workbookViewId="0">
      <selection sqref="A1:G58"/>
    </sheetView>
  </sheetViews>
  <sheetFormatPr defaultRowHeight="14.4" x14ac:dyDescent="0.3"/>
  <cols>
    <col min="1" max="1" width="8" customWidth="1"/>
    <col min="2" max="2" width="13.6640625" customWidth="1"/>
    <col min="3" max="3" width="12.44140625" customWidth="1"/>
    <col min="4" max="4" width="59.77734375" customWidth="1"/>
    <col min="6" max="6" width="11.109375" style="99" customWidth="1"/>
    <col min="7" max="7" width="63.33203125" customWidth="1"/>
  </cols>
  <sheetData>
    <row r="1" spans="1:7" ht="30" x14ac:dyDescent="0.3">
      <c r="A1" s="301" t="s">
        <v>185</v>
      </c>
      <c r="B1" s="302"/>
      <c r="C1" s="302"/>
      <c r="D1" s="302"/>
      <c r="E1" s="302"/>
      <c r="F1" s="302"/>
      <c r="G1" s="303"/>
    </row>
    <row r="2" spans="1:7" ht="17.399999999999999" x14ac:dyDescent="0.3">
      <c r="A2" s="108" t="s">
        <v>141</v>
      </c>
      <c r="B2" s="5"/>
      <c r="C2" s="1" t="s">
        <v>142</v>
      </c>
      <c r="D2" s="4"/>
      <c r="E2" s="4"/>
      <c r="F2" s="101"/>
      <c r="G2" s="109"/>
    </row>
    <row r="3" spans="1:7" ht="15.6" x14ac:dyDescent="0.3">
      <c r="A3" s="108" t="s">
        <v>143</v>
      </c>
      <c r="B3" s="5"/>
      <c r="C3" s="5" t="s">
        <v>144</v>
      </c>
      <c r="D3" s="2"/>
      <c r="E3" s="1"/>
      <c r="F3" s="102"/>
      <c r="G3" s="110"/>
    </row>
    <row r="4" spans="1:7" ht="15.6" x14ac:dyDescent="0.3">
      <c r="A4" s="108" t="s">
        <v>145</v>
      </c>
      <c r="B4" s="5"/>
      <c r="C4" s="1" t="s">
        <v>146</v>
      </c>
      <c r="D4" s="2"/>
      <c r="E4" s="1"/>
      <c r="F4" s="102"/>
      <c r="G4" s="110"/>
    </row>
    <row r="5" spans="1:7" ht="15.6" x14ac:dyDescent="0.3">
      <c r="A5" s="108" t="s">
        <v>138</v>
      </c>
      <c r="B5" s="5"/>
      <c r="C5" s="1"/>
      <c r="D5" s="2"/>
      <c r="E5" s="1"/>
      <c r="F5" s="102"/>
      <c r="G5" s="110"/>
    </row>
    <row r="6" spans="1:7" ht="15.6" x14ac:dyDescent="0.3">
      <c r="A6" s="108" t="s">
        <v>230</v>
      </c>
      <c r="B6" s="5"/>
      <c r="C6" s="1"/>
      <c r="D6" s="2"/>
      <c r="E6" s="5" t="s">
        <v>1</v>
      </c>
      <c r="F6" s="107">
        <f>Orçamento!F6</f>
        <v>0.2135</v>
      </c>
      <c r="G6" s="110"/>
    </row>
    <row r="7" spans="1:7" ht="27.6" x14ac:dyDescent="0.3">
      <c r="A7" s="111" t="s">
        <v>2</v>
      </c>
      <c r="B7" s="17" t="s">
        <v>3</v>
      </c>
      <c r="C7" s="17" t="s">
        <v>4</v>
      </c>
      <c r="D7" s="16" t="s">
        <v>5</v>
      </c>
      <c r="E7" s="18" t="s">
        <v>6</v>
      </c>
      <c r="F7" s="19" t="s">
        <v>7</v>
      </c>
      <c r="G7" s="112" t="s">
        <v>162</v>
      </c>
    </row>
    <row r="8" spans="1:7" x14ac:dyDescent="0.3">
      <c r="A8" s="113">
        <v>1</v>
      </c>
      <c r="B8" s="21"/>
      <c r="C8" s="21"/>
      <c r="D8" s="22" t="s">
        <v>22</v>
      </c>
      <c r="E8" s="21"/>
      <c r="F8" s="103"/>
      <c r="G8" s="114"/>
    </row>
    <row r="9" spans="1:7" ht="28.2" customHeight="1" x14ac:dyDescent="0.3">
      <c r="A9" s="98" t="s">
        <v>33</v>
      </c>
      <c r="B9" s="9" t="s">
        <v>11</v>
      </c>
      <c r="C9" s="9" t="s">
        <v>12</v>
      </c>
      <c r="D9" s="7" t="s">
        <v>135</v>
      </c>
      <c r="E9" s="14" t="s">
        <v>29</v>
      </c>
      <c r="F9" s="8">
        <f>ROUND(1.5*3,2)</f>
        <v>4.5</v>
      </c>
      <c r="G9" s="116" t="s">
        <v>161</v>
      </c>
    </row>
    <row r="10" spans="1:7" ht="19.95" customHeight="1" x14ac:dyDescent="0.3">
      <c r="A10" s="98" t="s">
        <v>34</v>
      </c>
      <c r="B10" s="189" t="s">
        <v>13</v>
      </c>
      <c r="C10" s="9" t="s">
        <v>14</v>
      </c>
      <c r="D10" s="7" t="s">
        <v>23</v>
      </c>
      <c r="E10" s="14" t="s">
        <v>30</v>
      </c>
      <c r="F10" s="8">
        <f>ROUND(1,2)</f>
        <v>1</v>
      </c>
      <c r="G10" s="117" t="s">
        <v>163</v>
      </c>
    </row>
    <row r="11" spans="1:7" x14ac:dyDescent="0.3">
      <c r="A11" s="113">
        <v>2</v>
      </c>
      <c r="B11" s="21"/>
      <c r="C11" s="21"/>
      <c r="D11" s="22" t="s">
        <v>168</v>
      </c>
      <c r="E11" s="21"/>
      <c r="F11" s="103"/>
      <c r="G11" s="114"/>
    </row>
    <row r="12" spans="1:7" ht="49.95" customHeight="1" x14ac:dyDescent="0.3">
      <c r="A12" s="98" t="s">
        <v>15</v>
      </c>
      <c r="B12" s="105" t="s">
        <v>11</v>
      </c>
      <c r="C12" s="9" t="s">
        <v>226</v>
      </c>
      <c r="D12" s="7" t="s">
        <v>139</v>
      </c>
      <c r="E12" s="14" t="str">
        <f>Orçamento!E12</f>
        <v>H</v>
      </c>
      <c r="F12" s="8">
        <f>ROUND(20*1*4*2,2)</f>
        <v>160</v>
      </c>
      <c r="G12" s="117" t="s">
        <v>228</v>
      </c>
    </row>
    <row r="13" spans="1:7" ht="15" customHeight="1" x14ac:dyDescent="0.3">
      <c r="A13" s="299" t="str">
        <f>Orçamento!A13</f>
        <v>TRECHO 01 - VALE DO ALCANTILADO - MIRANTÃO</v>
      </c>
      <c r="B13" s="193"/>
      <c r="C13" s="193"/>
      <c r="D13" s="193"/>
      <c r="E13" s="193"/>
      <c r="F13" s="193"/>
      <c r="G13" s="300"/>
    </row>
    <row r="14" spans="1:7" x14ac:dyDescent="0.3">
      <c r="A14" s="113">
        <v>3</v>
      </c>
      <c r="B14" s="20"/>
      <c r="C14" s="20"/>
      <c r="D14" s="22" t="s">
        <v>24</v>
      </c>
      <c r="E14" s="21"/>
      <c r="F14" s="104"/>
      <c r="G14" s="114"/>
    </row>
    <row r="15" spans="1:7" ht="28.2" customHeight="1" x14ac:dyDescent="0.3">
      <c r="A15" s="98" t="s">
        <v>35</v>
      </c>
      <c r="B15" s="9" t="s">
        <v>16</v>
      </c>
      <c r="C15" s="9" t="s">
        <v>18</v>
      </c>
      <c r="D15" s="7" t="s">
        <v>26</v>
      </c>
      <c r="E15" s="14" t="s">
        <v>29</v>
      </c>
      <c r="F15" s="8">
        <f>ROUND(200*1*2,2)</f>
        <v>400</v>
      </c>
      <c r="G15" s="116" t="s">
        <v>164</v>
      </c>
    </row>
    <row r="16" spans="1:7" ht="19.95" customHeight="1" x14ac:dyDescent="0.3">
      <c r="A16" s="98" t="s">
        <v>36</v>
      </c>
      <c r="B16" s="9" t="s">
        <v>16</v>
      </c>
      <c r="C16" s="9">
        <v>4915598</v>
      </c>
      <c r="D16" s="7" t="s">
        <v>136</v>
      </c>
      <c r="E16" s="14" t="s">
        <v>29</v>
      </c>
      <c r="F16" s="8">
        <f>ROUND(200*1*2,2)</f>
        <v>400</v>
      </c>
      <c r="G16" s="117" t="s">
        <v>164</v>
      </c>
    </row>
    <row r="17" spans="1:7" x14ac:dyDescent="0.3">
      <c r="A17" s="113">
        <v>4</v>
      </c>
      <c r="B17" s="25"/>
      <c r="C17" s="25"/>
      <c r="D17" s="23" t="s">
        <v>27</v>
      </c>
      <c r="E17" s="23"/>
      <c r="F17" s="25"/>
      <c r="G17" s="115"/>
    </row>
    <row r="18" spans="1:7" ht="19.95" customHeight="1" x14ac:dyDescent="0.3">
      <c r="A18" s="98" t="s">
        <v>38</v>
      </c>
      <c r="B18" s="9" t="s">
        <v>16</v>
      </c>
      <c r="C18" s="9" t="s">
        <v>19</v>
      </c>
      <c r="D18" s="7" t="s">
        <v>28</v>
      </c>
      <c r="E18" s="14" t="s">
        <v>29</v>
      </c>
      <c r="F18" s="8">
        <f>ROUND(200*6.5,2)</f>
        <v>1300</v>
      </c>
      <c r="G18" s="117" t="s">
        <v>165</v>
      </c>
    </row>
    <row r="19" spans="1:7" ht="19.95" customHeight="1" x14ac:dyDescent="0.3">
      <c r="A19" s="98" t="s">
        <v>39</v>
      </c>
      <c r="B19" s="9" t="s">
        <v>16</v>
      </c>
      <c r="C19" s="9">
        <v>4015612</v>
      </c>
      <c r="D19" s="7" t="s">
        <v>137</v>
      </c>
      <c r="E19" s="14" t="s">
        <v>31</v>
      </c>
      <c r="F19" s="8">
        <f>ROUND(200*6.5*0.15,2)</f>
        <v>195</v>
      </c>
      <c r="G19" s="117" t="s">
        <v>166</v>
      </c>
    </row>
    <row r="20" spans="1:7" ht="27.6" x14ac:dyDescent="0.3">
      <c r="A20" s="98" t="s">
        <v>40</v>
      </c>
      <c r="B20" s="9" t="s">
        <v>16</v>
      </c>
      <c r="C20" s="9" t="s">
        <v>17</v>
      </c>
      <c r="D20" s="15" t="s">
        <v>25</v>
      </c>
      <c r="E20" s="14" t="s">
        <v>32</v>
      </c>
      <c r="F20" s="127">
        <f>ROUND(98.3*1.78*195,2)</f>
        <v>34119.93</v>
      </c>
      <c r="G20" s="116" t="s">
        <v>239</v>
      </c>
    </row>
    <row r="21" spans="1:7" ht="19.95" customHeight="1" x14ac:dyDescent="0.3">
      <c r="A21" s="98" t="s">
        <v>140</v>
      </c>
      <c r="B21" s="9" t="s">
        <v>11</v>
      </c>
      <c r="C21" s="9">
        <v>5502978</v>
      </c>
      <c r="D21" s="7" t="s">
        <v>232</v>
      </c>
      <c r="E21" s="14" t="s">
        <v>31</v>
      </c>
      <c r="F21" s="8">
        <f>ROUND(200*6.5*0.15,2)</f>
        <v>195</v>
      </c>
      <c r="G21" s="117" t="s">
        <v>166</v>
      </c>
    </row>
    <row r="22" spans="1:7" ht="15" customHeight="1" x14ac:dyDescent="0.3">
      <c r="A22" s="299" t="str">
        <f>Orçamento!A22</f>
        <v>TRECHO 02 - ESTRADA DO ALCANTILADO 1 - MIRANTÃO</v>
      </c>
      <c r="B22" s="193"/>
      <c r="C22" s="193"/>
      <c r="D22" s="193"/>
      <c r="E22" s="193"/>
      <c r="F22" s="193"/>
      <c r="G22" s="300"/>
    </row>
    <row r="23" spans="1:7" x14ac:dyDescent="0.3">
      <c r="A23" s="113">
        <v>5</v>
      </c>
      <c r="B23" s="20"/>
      <c r="C23" s="20"/>
      <c r="D23" s="22" t="s">
        <v>24</v>
      </c>
      <c r="E23" s="21"/>
      <c r="F23" s="104"/>
      <c r="G23" s="114"/>
    </row>
    <row r="24" spans="1:7" ht="27.6" x14ac:dyDescent="0.3">
      <c r="A24" s="98" t="s">
        <v>41</v>
      </c>
      <c r="B24" s="9" t="s">
        <v>16</v>
      </c>
      <c r="C24" s="9" t="s">
        <v>18</v>
      </c>
      <c r="D24" s="7" t="s">
        <v>26</v>
      </c>
      <c r="E24" s="14" t="s">
        <v>29</v>
      </c>
      <c r="F24" s="8">
        <f>ROUND(400*1*2,2)</f>
        <v>800</v>
      </c>
      <c r="G24" s="116" t="s">
        <v>173</v>
      </c>
    </row>
    <row r="25" spans="1:7" ht="19.95" customHeight="1" x14ac:dyDescent="0.3">
      <c r="A25" s="98" t="s">
        <v>37</v>
      </c>
      <c r="B25" s="9" t="s">
        <v>16</v>
      </c>
      <c r="C25" s="9">
        <v>4915598</v>
      </c>
      <c r="D25" s="7" t="s">
        <v>136</v>
      </c>
      <c r="E25" s="14" t="s">
        <v>29</v>
      </c>
      <c r="F25" s="8">
        <f>ROUND(400*1*2,2)</f>
        <v>800</v>
      </c>
      <c r="G25" s="117" t="s">
        <v>173</v>
      </c>
    </row>
    <row r="26" spans="1:7" x14ac:dyDescent="0.3">
      <c r="A26" s="113">
        <v>6</v>
      </c>
      <c r="B26" s="25"/>
      <c r="C26" s="25"/>
      <c r="D26" s="23" t="s">
        <v>27</v>
      </c>
      <c r="E26" s="23"/>
      <c r="F26" s="25"/>
      <c r="G26" s="115"/>
    </row>
    <row r="27" spans="1:7" ht="19.95" customHeight="1" x14ac:dyDescent="0.3">
      <c r="A27" s="98" t="s">
        <v>186</v>
      </c>
      <c r="B27" s="9" t="s">
        <v>16</v>
      </c>
      <c r="C27" s="9" t="s">
        <v>19</v>
      </c>
      <c r="D27" s="7" t="s">
        <v>28</v>
      </c>
      <c r="E27" s="14" t="s">
        <v>29</v>
      </c>
      <c r="F27" s="8">
        <f>ROUND(400*5.5,2)</f>
        <v>2200</v>
      </c>
      <c r="G27" s="117" t="s">
        <v>175</v>
      </c>
    </row>
    <row r="28" spans="1:7" ht="19.95" customHeight="1" x14ac:dyDescent="0.3">
      <c r="A28" s="98" t="s">
        <v>187</v>
      </c>
      <c r="B28" s="9" t="s">
        <v>16</v>
      </c>
      <c r="C28" s="9">
        <v>4915709</v>
      </c>
      <c r="D28" s="7" t="s">
        <v>171</v>
      </c>
      <c r="E28" s="14" t="s">
        <v>49</v>
      </c>
      <c r="F28" s="8">
        <f>ROUND(80*1,2)</f>
        <v>80</v>
      </c>
      <c r="G28" s="117" t="s">
        <v>172</v>
      </c>
    </row>
    <row r="29" spans="1:7" ht="19.95" customHeight="1" x14ac:dyDescent="0.3">
      <c r="A29" s="98" t="s">
        <v>188</v>
      </c>
      <c r="B29" s="9" t="s">
        <v>16</v>
      </c>
      <c r="C29" s="9">
        <v>4015612</v>
      </c>
      <c r="D29" s="7" t="s">
        <v>137</v>
      </c>
      <c r="E29" s="14" t="s">
        <v>31</v>
      </c>
      <c r="F29" s="8">
        <f>ROUND(400*5.5*0.15,2)</f>
        <v>330</v>
      </c>
      <c r="G29" s="117" t="s">
        <v>177</v>
      </c>
    </row>
    <row r="30" spans="1:7" ht="27.6" x14ac:dyDescent="0.3">
      <c r="A30" s="98" t="s">
        <v>189</v>
      </c>
      <c r="B30" s="9" t="s">
        <v>16</v>
      </c>
      <c r="C30" s="9" t="s">
        <v>17</v>
      </c>
      <c r="D30" s="15" t="s">
        <v>25</v>
      </c>
      <c r="E30" s="14" t="s">
        <v>32</v>
      </c>
      <c r="F30" s="127">
        <f>ROUND(94.1*1.78*330,2)</f>
        <v>55274.34</v>
      </c>
      <c r="G30" s="116" t="s">
        <v>240</v>
      </c>
    </row>
    <row r="31" spans="1:7" ht="19.95" customHeight="1" x14ac:dyDescent="0.3">
      <c r="A31" s="98" t="s">
        <v>190</v>
      </c>
      <c r="B31" s="9" t="s">
        <v>11</v>
      </c>
      <c r="C31" s="9">
        <v>5502978</v>
      </c>
      <c r="D31" s="7" t="s">
        <v>232</v>
      </c>
      <c r="E31" s="14" t="s">
        <v>31</v>
      </c>
      <c r="F31" s="8">
        <f>ROUND(400*5.5*0.15,2)</f>
        <v>330</v>
      </c>
      <c r="G31" s="117" t="s">
        <v>177</v>
      </c>
    </row>
    <row r="32" spans="1:7" ht="15" customHeight="1" x14ac:dyDescent="0.3">
      <c r="A32" s="299" t="str">
        <f>Orçamento!A32</f>
        <v>TRECHO 03 - ESTRADA DO ALCANTILADO 2 - MIRANTÃO</v>
      </c>
      <c r="B32" s="193"/>
      <c r="C32" s="193"/>
      <c r="D32" s="193"/>
      <c r="E32" s="193"/>
      <c r="F32" s="193"/>
      <c r="G32" s="300"/>
    </row>
    <row r="33" spans="1:7" x14ac:dyDescent="0.3">
      <c r="A33" s="113">
        <v>7</v>
      </c>
      <c r="B33" s="20"/>
      <c r="C33" s="20"/>
      <c r="D33" s="22" t="s">
        <v>24</v>
      </c>
      <c r="E33" s="21"/>
      <c r="F33" s="104"/>
      <c r="G33" s="114"/>
    </row>
    <row r="34" spans="1:7" ht="27.6" x14ac:dyDescent="0.3">
      <c r="A34" s="98" t="s">
        <v>191</v>
      </c>
      <c r="B34" s="9" t="s">
        <v>16</v>
      </c>
      <c r="C34" s="9" t="s">
        <v>18</v>
      </c>
      <c r="D34" s="7" t="s">
        <v>26</v>
      </c>
      <c r="E34" s="14" t="s">
        <v>29</v>
      </c>
      <c r="F34" s="8">
        <f>ROUND(300*1*2,2)</f>
        <v>600</v>
      </c>
      <c r="G34" s="116" t="s">
        <v>170</v>
      </c>
    </row>
    <row r="35" spans="1:7" ht="19.95" customHeight="1" x14ac:dyDescent="0.3">
      <c r="A35" s="98" t="s">
        <v>192</v>
      </c>
      <c r="B35" s="9" t="s">
        <v>16</v>
      </c>
      <c r="C35" s="9">
        <v>4915598</v>
      </c>
      <c r="D35" s="7" t="s">
        <v>136</v>
      </c>
      <c r="E35" s="14" t="s">
        <v>29</v>
      </c>
      <c r="F35" s="8">
        <f>ROUND(300*1*2,2)</f>
        <v>600</v>
      </c>
      <c r="G35" s="117" t="s">
        <v>170</v>
      </c>
    </row>
    <row r="36" spans="1:7" x14ac:dyDescent="0.3">
      <c r="A36" s="113">
        <v>8</v>
      </c>
      <c r="B36" s="25"/>
      <c r="C36" s="25"/>
      <c r="D36" s="23" t="s">
        <v>27</v>
      </c>
      <c r="E36" s="23"/>
      <c r="F36" s="25"/>
      <c r="G36" s="115"/>
    </row>
    <row r="37" spans="1:7" ht="19.95" customHeight="1" x14ac:dyDescent="0.3">
      <c r="A37" s="98" t="s">
        <v>193</v>
      </c>
      <c r="B37" s="9" t="s">
        <v>16</v>
      </c>
      <c r="C37" s="9" t="s">
        <v>19</v>
      </c>
      <c r="D37" s="7" t="s">
        <v>28</v>
      </c>
      <c r="E37" s="14" t="s">
        <v>29</v>
      </c>
      <c r="F37" s="8">
        <f>ROUND(300*5.5,2)</f>
        <v>1650</v>
      </c>
      <c r="G37" s="117" t="s">
        <v>178</v>
      </c>
    </row>
    <row r="38" spans="1:7" ht="19.95" customHeight="1" x14ac:dyDescent="0.3">
      <c r="A38" s="98" t="s">
        <v>194</v>
      </c>
      <c r="B38" s="9" t="s">
        <v>16</v>
      </c>
      <c r="C38" s="9">
        <v>4015612</v>
      </c>
      <c r="D38" s="7" t="s">
        <v>137</v>
      </c>
      <c r="E38" s="14" t="s">
        <v>31</v>
      </c>
      <c r="F38" s="8">
        <f>ROUND(300*5.5*0.15,2)</f>
        <v>247.5</v>
      </c>
      <c r="G38" s="117" t="s">
        <v>176</v>
      </c>
    </row>
    <row r="39" spans="1:7" ht="27.6" x14ac:dyDescent="0.3">
      <c r="A39" s="98" t="s">
        <v>195</v>
      </c>
      <c r="B39" s="9" t="s">
        <v>16</v>
      </c>
      <c r="C39" s="9" t="s">
        <v>17</v>
      </c>
      <c r="D39" s="15" t="s">
        <v>25</v>
      </c>
      <c r="E39" s="14" t="s">
        <v>32</v>
      </c>
      <c r="F39" s="127">
        <f>ROUND(94.9*1.78*247.5,2)</f>
        <v>41808.199999999997</v>
      </c>
      <c r="G39" s="116" t="s">
        <v>241</v>
      </c>
    </row>
    <row r="40" spans="1:7" ht="19.95" customHeight="1" x14ac:dyDescent="0.3">
      <c r="A40" s="98" t="s">
        <v>196</v>
      </c>
      <c r="B40" s="9" t="s">
        <v>11</v>
      </c>
      <c r="C40" s="9">
        <v>5502978</v>
      </c>
      <c r="D40" s="7" t="s">
        <v>232</v>
      </c>
      <c r="E40" s="14" t="s">
        <v>31</v>
      </c>
      <c r="F40" s="8">
        <f>ROUND(300*5.5*0.15,2)</f>
        <v>247.5</v>
      </c>
      <c r="G40" s="117" t="s">
        <v>176</v>
      </c>
    </row>
    <row r="41" spans="1:7" ht="15" customHeight="1" x14ac:dyDescent="0.3">
      <c r="A41" s="299" t="str">
        <f>Orçamento!A41</f>
        <v>TRECHO 04 - PEDRA DA GÁVEA - MIRANTÃO</v>
      </c>
      <c r="B41" s="193"/>
      <c r="C41" s="193"/>
      <c r="D41" s="193"/>
      <c r="E41" s="193"/>
      <c r="F41" s="193"/>
      <c r="G41" s="300"/>
    </row>
    <row r="42" spans="1:7" x14ac:dyDescent="0.3">
      <c r="A42" s="113">
        <v>9</v>
      </c>
      <c r="B42" s="20"/>
      <c r="C42" s="20"/>
      <c r="D42" s="22" t="s">
        <v>24</v>
      </c>
      <c r="E42" s="21"/>
      <c r="F42" s="104"/>
      <c r="G42" s="114"/>
    </row>
    <row r="43" spans="1:7" ht="27.6" x14ac:dyDescent="0.3">
      <c r="A43" s="98" t="s">
        <v>197</v>
      </c>
      <c r="B43" s="9" t="s">
        <v>16</v>
      </c>
      <c r="C43" s="9" t="s">
        <v>18</v>
      </c>
      <c r="D43" s="7" t="s">
        <v>26</v>
      </c>
      <c r="E43" s="14" t="s">
        <v>29</v>
      </c>
      <c r="F43" s="8">
        <f>ROUND(400*1*2,2)</f>
        <v>800</v>
      </c>
      <c r="G43" s="116" t="s">
        <v>173</v>
      </c>
    </row>
    <row r="44" spans="1:7" ht="19.95" customHeight="1" x14ac:dyDescent="0.3">
      <c r="A44" s="98" t="s">
        <v>198</v>
      </c>
      <c r="B44" s="9" t="s">
        <v>16</v>
      </c>
      <c r="C44" s="9">
        <v>4915598</v>
      </c>
      <c r="D44" s="7" t="s">
        <v>136</v>
      </c>
      <c r="E44" s="14" t="s">
        <v>29</v>
      </c>
      <c r="F44" s="8">
        <f>ROUND(400*1*2,2)</f>
        <v>800</v>
      </c>
      <c r="G44" s="117" t="s">
        <v>173</v>
      </c>
    </row>
    <row r="45" spans="1:7" x14ac:dyDescent="0.3">
      <c r="A45" s="113">
        <v>10</v>
      </c>
      <c r="B45" s="25"/>
      <c r="C45" s="25"/>
      <c r="D45" s="23" t="s">
        <v>27</v>
      </c>
      <c r="E45" s="23"/>
      <c r="F45" s="25"/>
      <c r="G45" s="118"/>
    </row>
    <row r="46" spans="1:7" ht="19.95" customHeight="1" x14ac:dyDescent="0.3">
      <c r="A46" s="98" t="s">
        <v>199</v>
      </c>
      <c r="B46" s="9" t="s">
        <v>16</v>
      </c>
      <c r="C46" s="9" t="s">
        <v>19</v>
      </c>
      <c r="D46" s="7" t="s">
        <v>28</v>
      </c>
      <c r="E46" s="14" t="s">
        <v>29</v>
      </c>
      <c r="F46" s="8">
        <f>ROUND(400*5,2)</f>
        <v>2000</v>
      </c>
      <c r="G46" s="117" t="s">
        <v>174</v>
      </c>
    </row>
    <row r="47" spans="1:7" ht="19.95" customHeight="1" x14ac:dyDescent="0.3">
      <c r="A47" s="98" t="s">
        <v>200</v>
      </c>
      <c r="B47" s="9" t="s">
        <v>16</v>
      </c>
      <c r="C47" s="9">
        <v>4015612</v>
      </c>
      <c r="D47" s="7" t="s">
        <v>137</v>
      </c>
      <c r="E47" s="14" t="s">
        <v>31</v>
      </c>
      <c r="F47" s="8">
        <f>ROUND(400*5*0.15,2)</f>
        <v>300</v>
      </c>
      <c r="G47" s="117" t="s">
        <v>182</v>
      </c>
    </row>
    <row r="48" spans="1:7" ht="27.6" x14ac:dyDescent="0.3">
      <c r="A48" s="98" t="s">
        <v>201</v>
      </c>
      <c r="B48" s="9" t="s">
        <v>16</v>
      </c>
      <c r="C48" s="9" t="s">
        <v>17</v>
      </c>
      <c r="D48" s="15" t="s">
        <v>25</v>
      </c>
      <c r="E48" s="14" t="s">
        <v>32</v>
      </c>
      <c r="F48" s="127">
        <f>ROUND(93.7*1.78*300,2)</f>
        <v>50035.8</v>
      </c>
      <c r="G48" s="116" t="s">
        <v>242</v>
      </c>
    </row>
    <row r="49" spans="1:7" ht="19.95" customHeight="1" x14ac:dyDescent="0.3">
      <c r="A49" s="98" t="s">
        <v>202</v>
      </c>
      <c r="B49" s="9" t="s">
        <v>11</v>
      </c>
      <c r="C49" s="9">
        <v>5502978</v>
      </c>
      <c r="D49" s="7" t="s">
        <v>232</v>
      </c>
      <c r="E49" s="14" t="s">
        <v>31</v>
      </c>
      <c r="F49" s="8">
        <f>ROUND(400*5*0.15,2)</f>
        <v>300</v>
      </c>
      <c r="G49" s="117" t="s">
        <v>182</v>
      </c>
    </row>
    <row r="50" spans="1:7" ht="15" customHeight="1" x14ac:dyDescent="0.3">
      <c r="A50" s="299" t="str">
        <f>Orçamento!A50</f>
        <v>TRECHO 05 - SERRA DO PALMITAL - MIRANTÃO</v>
      </c>
      <c r="B50" s="193"/>
      <c r="C50" s="193"/>
      <c r="D50" s="193"/>
      <c r="E50" s="193"/>
      <c r="F50" s="193"/>
      <c r="G50" s="300"/>
    </row>
    <row r="51" spans="1:7" x14ac:dyDescent="0.3">
      <c r="A51" s="113">
        <v>11</v>
      </c>
      <c r="B51" s="20"/>
      <c r="C51" s="20"/>
      <c r="D51" s="22" t="s">
        <v>24</v>
      </c>
      <c r="E51" s="21"/>
      <c r="F51" s="104"/>
      <c r="G51" s="114"/>
    </row>
    <row r="52" spans="1:7" ht="27.6" x14ac:dyDescent="0.3">
      <c r="A52" s="98" t="s">
        <v>203</v>
      </c>
      <c r="B52" s="9" t="s">
        <v>16</v>
      </c>
      <c r="C52" s="9" t="s">
        <v>18</v>
      </c>
      <c r="D52" s="7" t="s">
        <v>26</v>
      </c>
      <c r="E52" s="14" t="s">
        <v>29</v>
      </c>
      <c r="F52" s="8">
        <f>ROUND(1400*1*2,2)</f>
        <v>2800</v>
      </c>
      <c r="G52" s="117" t="s">
        <v>234</v>
      </c>
    </row>
    <row r="53" spans="1:7" ht="19.95" customHeight="1" x14ac:dyDescent="0.3">
      <c r="A53" s="98" t="s">
        <v>204</v>
      </c>
      <c r="B53" s="9" t="s">
        <v>16</v>
      </c>
      <c r="C53" s="9">
        <v>4915598</v>
      </c>
      <c r="D53" s="7" t="s">
        <v>136</v>
      </c>
      <c r="E53" s="14" t="s">
        <v>29</v>
      </c>
      <c r="F53" s="8">
        <f>ROUND(1400*1*2,2)</f>
        <v>2800</v>
      </c>
      <c r="G53" s="117" t="s">
        <v>234</v>
      </c>
    </row>
    <row r="54" spans="1:7" x14ac:dyDescent="0.3">
      <c r="A54" s="113">
        <v>12</v>
      </c>
      <c r="B54" s="25"/>
      <c r="C54" s="25"/>
      <c r="D54" s="23" t="s">
        <v>27</v>
      </c>
      <c r="E54" s="23"/>
      <c r="F54" s="120"/>
      <c r="G54" s="136"/>
    </row>
    <row r="55" spans="1:7" ht="19.95" customHeight="1" x14ac:dyDescent="0.3">
      <c r="A55" s="98" t="s">
        <v>205</v>
      </c>
      <c r="B55" s="9" t="s">
        <v>16</v>
      </c>
      <c r="C55" s="9" t="s">
        <v>19</v>
      </c>
      <c r="D55" s="7" t="s">
        <v>28</v>
      </c>
      <c r="E55" s="14" t="s">
        <v>29</v>
      </c>
      <c r="F55" s="8">
        <f>ROUND(1400*5,2)</f>
        <v>7000</v>
      </c>
      <c r="G55" s="117" t="s">
        <v>235</v>
      </c>
    </row>
    <row r="56" spans="1:7" ht="19.95" customHeight="1" x14ac:dyDescent="0.3">
      <c r="A56" s="98" t="s">
        <v>206</v>
      </c>
      <c r="B56" s="9" t="s">
        <v>16</v>
      </c>
      <c r="C56" s="9">
        <v>4015612</v>
      </c>
      <c r="D56" s="7" t="s">
        <v>137</v>
      </c>
      <c r="E56" s="14" t="s">
        <v>31</v>
      </c>
      <c r="F56" s="8">
        <f>ROUND(1400*5*0.15,2)</f>
        <v>1050</v>
      </c>
      <c r="G56" s="117" t="s">
        <v>236</v>
      </c>
    </row>
    <row r="57" spans="1:7" ht="27.6" x14ac:dyDescent="0.3">
      <c r="A57" s="98" t="s">
        <v>207</v>
      </c>
      <c r="B57" s="9" t="s">
        <v>16</v>
      </c>
      <c r="C57" s="9" t="s">
        <v>17</v>
      </c>
      <c r="D57" s="15" t="s">
        <v>25</v>
      </c>
      <c r="E57" s="14" t="s">
        <v>32</v>
      </c>
      <c r="F57" s="8">
        <f>ROUND(94.5*1.78*1050,2)</f>
        <v>176620.5</v>
      </c>
      <c r="G57" s="117" t="s">
        <v>238</v>
      </c>
    </row>
    <row r="58" spans="1:7" ht="19.95" customHeight="1" x14ac:dyDescent="0.3">
      <c r="A58" s="98" t="s">
        <v>208</v>
      </c>
      <c r="B58" s="9" t="s">
        <v>11</v>
      </c>
      <c r="C58" s="9">
        <v>5502978</v>
      </c>
      <c r="D58" s="7" t="s">
        <v>232</v>
      </c>
      <c r="E58" s="14" t="s">
        <v>31</v>
      </c>
      <c r="F58" s="8">
        <f>ROUND(1400*5*0.15,2)</f>
        <v>1050</v>
      </c>
      <c r="G58" s="117" t="s">
        <v>236</v>
      </c>
    </row>
  </sheetData>
  <mergeCells count="6">
    <mergeCell ref="A50:G50"/>
    <mergeCell ref="A1:G1"/>
    <mergeCell ref="A13:G13"/>
    <mergeCell ref="A22:G22"/>
    <mergeCell ref="A32:G32"/>
    <mergeCell ref="A41:G41"/>
  </mergeCells>
  <phoneticPr fontId="15" type="noConversion"/>
  <printOptions horizontalCentered="1"/>
  <pageMargins left="0" right="0" top="0.59055118110236227" bottom="0.19685039370078741" header="0" footer="0"/>
  <pageSetup paperSize="9" scale="75" orientation="landscape" r:id="rId1"/>
  <rowBreaks count="1" manualBreakCount="1"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Orçamento</vt:lpstr>
      <vt:lpstr>DMT-Jazida</vt:lpstr>
      <vt:lpstr>COMP. MOB-DESM</vt:lpstr>
      <vt:lpstr>CRONOGRAMA FF</vt:lpstr>
      <vt:lpstr>BDI</vt:lpstr>
      <vt:lpstr>MEMORIA DE CALCULO</vt:lpstr>
      <vt:lpstr>'CRONOGRAMA FF'!Area_de_impressao</vt:lpstr>
      <vt:lpstr>'MEMORIA DE CALCULO'!Area_de_impressao</vt:lpstr>
      <vt:lpstr>'MEMORIA DE CALCULO'!Titulos_de_impressao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luiz</dc:creator>
  <cp:lastModifiedBy>PRISCILA DE PAULA</cp:lastModifiedBy>
  <cp:lastPrinted>2023-11-10T20:36:09Z</cp:lastPrinted>
  <dcterms:created xsi:type="dcterms:W3CDTF">2023-09-14T15:20:29Z</dcterms:created>
  <dcterms:modified xsi:type="dcterms:W3CDTF">2023-11-10T20:36:16Z</dcterms:modified>
</cp:coreProperties>
</file>