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195" firstSheet="1" activeTab="1"/>
  </bookViews>
  <sheets>
    <sheet name="ANEXO A MC" sheetId="9" state="hidden" r:id="rId1"/>
    <sheet name="MPO I" sheetId="6" r:id="rId2"/>
    <sheet name="CFF" sheetId="8" r:id="rId3"/>
    <sheet name="MC" sheetId="3" r:id="rId4"/>
    <sheet name="COMPOSIÇÃO DE CUSTO" sheetId="7" r:id="rId5"/>
    <sheet name="COTAÇÃO" sheetId="10" r:id="rId6"/>
    <sheet name="PLANILHA" sheetId="2" state="hidden" r:id="rId7"/>
    <sheet name="BM 01" sheetId="5" state="hidden" r:id="rId8"/>
    <sheet name="Plan1" sheetId="1" state="hidden" r:id="rId9"/>
  </sheets>
  <externalReferences>
    <externalReference r:id="rId10"/>
    <externalReference r:id="rId11"/>
    <externalReference r:id="rId12"/>
    <externalReference r:id="rId13"/>
  </externalReferences>
  <definedNames>
    <definedName name="_xlnm.Print_Area" localSheetId="0">'ANEXO A MC'!$A$1:$L$53</definedName>
    <definedName name="_xlnm.Print_Area" localSheetId="2">CFF!$A$1:$F$29</definedName>
    <definedName name="_xlnm.Print_Area" localSheetId="3">MC!$A$1:$J$260</definedName>
    <definedName name="_xlnm.Print_Area" localSheetId="1">'MPO I'!$A$1:$I$56</definedName>
    <definedName name="_xlnm.Print_Area" localSheetId="8">Plan1!$A$1:$G$195</definedName>
    <definedName name="_xlnm.Print_Area" localSheetId="6">PLANILHA!$A$1:$H$49</definedName>
    <definedName name="_xlnm.Database">TEXT([1]Dados!$G$29,"mm-aaaa")</definedName>
    <definedName name="Fonte" localSheetId="0">#REF!</definedName>
    <definedName name="Fonte" localSheetId="2">#REF!</definedName>
    <definedName name="Fonte" localSheetId="4">#REF!</definedName>
    <definedName name="Fonte">#REF!</definedName>
    <definedName name="INSUMOS" localSheetId="0">#REF!</definedName>
    <definedName name="INSUMOS" localSheetId="4">#REF!</definedName>
    <definedName name="INSUMOS">#REF!</definedName>
  </definedNames>
  <calcPr calcId="124519"/>
</workbook>
</file>

<file path=xl/calcChain.xml><?xml version="1.0" encoding="utf-8"?>
<calcChain xmlns="http://schemas.openxmlformats.org/spreadsheetml/2006/main">
  <c r="B17" i="8"/>
  <c r="F42" i="6" l="1"/>
  <c r="F41"/>
  <c r="G244" i="3"/>
  <c r="G245"/>
  <c r="G246"/>
  <c r="G247"/>
  <c r="G248"/>
  <c r="G249"/>
  <c r="G250"/>
  <c r="G251"/>
  <c r="G252"/>
  <c r="G243"/>
  <c r="F245"/>
  <c r="F246"/>
  <c r="F248"/>
  <c r="F249"/>
  <c r="F250"/>
  <c r="F251"/>
  <c r="F252"/>
  <c r="F243"/>
  <c r="E253"/>
  <c r="E247"/>
  <c r="E244"/>
  <c r="D253"/>
  <c r="D247"/>
  <c r="D244"/>
  <c r="C164"/>
  <c r="C163"/>
  <c r="C158"/>
  <c r="F34" i="6" s="1"/>
  <c r="D141" i="3"/>
  <c r="D142"/>
  <c r="D143"/>
  <c r="D144"/>
  <c r="D145"/>
  <c r="D146"/>
  <c r="D147"/>
  <c r="B140"/>
  <c r="D140" s="1"/>
  <c r="E118"/>
  <c r="E117"/>
  <c r="B116"/>
  <c r="E116" s="1"/>
  <c r="E134"/>
  <c r="E133"/>
  <c r="B132"/>
  <c r="E132" s="1"/>
  <c r="C125"/>
  <c r="B125"/>
  <c r="C110"/>
  <c r="C109"/>
  <c r="B110"/>
  <c r="B109"/>
  <c r="D58"/>
  <c r="D57"/>
  <c r="C58"/>
  <c r="C57"/>
  <c r="B58"/>
  <c r="B57"/>
  <c r="H42" i="6"/>
  <c r="H32"/>
  <c r="I42" l="1"/>
  <c r="F253" i="3"/>
  <c r="F43" i="6" s="1"/>
  <c r="E135" i="3"/>
  <c r="F31" i="6" s="1"/>
  <c r="D110" i="3"/>
  <c r="E119"/>
  <c r="F29" i="6" s="1"/>
  <c r="C165" i="3"/>
  <c r="F35" i="6" s="1"/>
  <c r="D109" i="3"/>
  <c r="D148"/>
  <c r="F32" i="6" s="1"/>
  <c r="I32" s="1"/>
  <c r="E125" i="3"/>
  <c r="E126" s="1"/>
  <c r="F30" i="6" s="1"/>
  <c r="C35"/>
  <c r="B9" i="10"/>
  <c r="C14" i="7" s="1"/>
  <c r="A6" i="10"/>
  <c r="A5"/>
  <c r="A4"/>
  <c r="A3"/>
  <c r="A2"/>
  <c r="F9"/>
  <c r="F14" i="7" s="1"/>
  <c r="G14" s="1"/>
  <c r="G15"/>
  <c r="H34" i="6"/>
  <c r="I34" s="1"/>
  <c r="H31"/>
  <c r="H30"/>
  <c r="H29"/>
  <c r="H28"/>
  <c r="I31" l="1"/>
  <c r="G12" i="7"/>
  <c r="G35" i="6" s="1"/>
  <c r="H35" s="1"/>
  <c r="I35" s="1"/>
  <c r="I33" s="1"/>
  <c r="D18" i="8" s="1"/>
  <c r="F18" s="1"/>
  <c r="G253" i="3"/>
  <c r="F44" i="6" s="1"/>
  <c r="D111" i="3"/>
  <c r="F28" i="6" s="1"/>
  <c r="I28" s="1"/>
  <c r="I30"/>
  <c r="I29"/>
  <c r="H39"/>
  <c r="H41"/>
  <c r="H214" i="3"/>
  <c r="H199"/>
  <c r="H195"/>
  <c r="H189"/>
  <c r="H208"/>
  <c r="H203"/>
  <c r="H218"/>
  <c r="H222"/>
  <c r="C226"/>
  <c r="H226" s="1"/>
  <c r="B188"/>
  <c r="H187" s="1"/>
  <c r="J187" s="1"/>
  <c r="H181"/>
  <c r="J181" s="1"/>
  <c r="I53" i="9"/>
  <c r="I49"/>
  <c r="H53"/>
  <c r="H4"/>
  <c r="H10"/>
  <c r="B11"/>
  <c r="K10" s="1"/>
  <c r="H35"/>
  <c r="I35" s="1"/>
  <c r="J35" s="1"/>
  <c r="H29"/>
  <c r="H45"/>
  <c r="H41"/>
  <c r="I41" s="1"/>
  <c r="J41" s="1"/>
  <c r="H24"/>
  <c r="I24" s="1"/>
  <c r="H20"/>
  <c r="I20" s="1"/>
  <c r="J20" s="1"/>
  <c r="H49"/>
  <c r="H16"/>
  <c r="I16" s="1"/>
  <c r="C12"/>
  <c r="H12" s="1"/>
  <c r="L53"/>
  <c r="J10"/>
  <c r="J4"/>
  <c r="H230" i="3" l="1"/>
  <c r="F38" i="6" s="1"/>
  <c r="F37"/>
  <c r="I222" i="3"/>
  <c r="I226"/>
  <c r="J226" s="1"/>
  <c r="I208"/>
  <c r="I199"/>
  <c r="J199" s="1"/>
  <c r="I218"/>
  <c r="I214"/>
  <c r="J214" s="1"/>
  <c r="I195"/>
  <c r="I189"/>
  <c r="I203"/>
  <c r="J49" i="9"/>
  <c r="I29"/>
  <c r="J29" s="1"/>
  <c r="K35"/>
  <c r="J24"/>
  <c r="K24"/>
  <c r="I45"/>
  <c r="J45" s="1"/>
  <c r="K41"/>
  <c r="K49"/>
  <c r="K20"/>
  <c r="I12"/>
  <c r="J12" s="1"/>
  <c r="J16"/>
  <c r="K4"/>
  <c r="B38" i="3"/>
  <c r="H43" i="6"/>
  <c r="B10" i="3"/>
  <c r="J189" l="1"/>
  <c r="I230"/>
  <c r="F39" i="6" s="1"/>
  <c r="J203" i="3"/>
  <c r="J208"/>
  <c r="J218"/>
  <c r="J195"/>
  <c r="K29" i="9"/>
  <c r="K45"/>
  <c r="K12"/>
  <c r="K53"/>
  <c r="J53"/>
  <c r="B19" i="8"/>
  <c r="B15"/>
  <c r="B13"/>
  <c r="B11"/>
  <c r="B9"/>
  <c r="B7"/>
  <c r="A5"/>
  <c r="A38" i="3"/>
  <c r="A40"/>
  <c r="F13" i="6"/>
  <c r="F11"/>
  <c r="H16"/>
  <c r="H38"/>
  <c r="H40"/>
  <c r="H44"/>
  <c r="H24"/>
  <c r="H25"/>
  <c r="H26"/>
  <c r="H27"/>
  <c r="C23"/>
  <c r="G8" i="7"/>
  <c r="G7"/>
  <c r="G6"/>
  <c r="G5"/>
  <c r="D64" i="6"/>
  <c r="H37"/>
  <c r="H21"/>
  <c r="H20"/>
  <c r="H18"/>
  <c r="H15"/>
  <c r="H14"/>
  <c r="H13"/>
  <c r="L11"/>
  <c r="H11"/>
  <c r="E11"/>
  <c r="J230" i="3" l="1"/>
  <c r="F40" i="6" s="1"/>
  <c r="G3" i="7"/>
  <c r="G23" i="6" s="1"/>
  <c r="H23" s="1"/>
  <c r="D36" i="3"/>
  <c r="I11" i="6"/>
  <c r="I10" s="1"/>
  <c r="D8" i="8" s="1"/>
  <c r="N11" i="6"/>
  <c r="N45" s="1"/>
  <c r="I13"/>
  <c r="K36" i="5"/>
  <c r="K37"/>
  <c r="K38"/>
  <c r="K39"/>
  <c r="K40"/>
  <c r="K41"/>
  <c r="K35"/>
  <c r="K32"/>
  <c r="E32"/>
  <c r="I32" s="1"/>
  <c r="J32" s="1"/>
  <c r="K16"/>
  <c r="K17"/>
  <c r="K15"/>
  <c r="K12"/>
  <c r="A36"/>
  <c r="A37"/>
  <c r="A38"/>
  <c r="A39"/>
  <c r="A40"/>
  <c r="A41"/>
  <c r="A35"/>
  <c r="B41"/>
  <c r="B38"/>
  <c r="B39"/>
  <c r="B40"/>
  <c r="B37"/>
  <c r="B36"/>
  <c r="B35"/>
  <c r="E8" i="8" l="1"/>
  <c r="F16" i="6"/>
  <c r="I16" s="1"/>
  <c r="A34" i="5"/>
  <c r="B34"/>
  <c r="B32"/>
  <c r="B28"/>
  <c r="B29"/>
  <c r="B30"/>
  <c r="B31"/>
  <c r="B27"/>
  <c r="A28"/>
  <c r="A29"/>
  <c r="A30"/>
  <c r="A31"/>
  <c r="A32"/>
  <c r="A27"/>
  <c r="A26"/>
  <c r="B26"/>
  <c r="A24"/>
  <c r="A23"/>
  <c r="A22"/>
  <c r="B24"/>
  <c r="B23"/>
  <c r="B22"/>
  <c r="A20"/>
  <c r="A19"/>
  <c r="B20"/>
  <c r="B19"/>
  <c r="B17"/>
  <c r="B16"/>
  <c r="B15"/>
  <c r="A16"/>
  <c r="A17"/>
  <c r="A15"/>
  <c r="A14"/>
  <c r="B14"/>
  <c r="B12"/>
  <c r="B11"/>
  <c r="D89" i="3" l="1"/>
  <c r="D88"/>
  <c r="B85"/>
  <c r="A85"/>
  <c r="G29" i="2"/>
  <c r="M29" i="5" s="1"/>
  <c r="G39" i="2"/>
  <c r="M39" i="5" s="1"/>
  <c r="D90" i="3" l="1"/>
  <c r="E29" i="2" s="1"/>
  <c r="E29" i="5" s="1"/>
  <c r="I29" s="1"/>
  <c r="J29" s="1"/>
  <c r="G32" i="2"/>
  <c r="A61" i="3"/>
  <c r="A52"/>
  <c r="B50"/>
  <c r="A50"/>
  <c r="A66"/>
  <c r="B66"/>
  <c r="A68"/>
  <c r="G24" i="2"/>
  <c r="M24" i="5" s="1"/>
  <c r="G23" i="2"/>
  <c r="M23" i="5" s="1"/>
  <c r="B167" i="3"/>
  <c r="F58"/>
  <c r="F57"/>
  <c r="D102"/>
  <c r="A98"/>
  <c r="D95"/>
  <c r="A92"/>
  <c r="A75"/>
  <c r="E72"/>
  <c r="E47"/>
  <c r="E46"/>
  <c r="E22"/>
  <c r="B25"/>
  <c r="A25"/>
  <c r="B18"/>
  <c r="A18"/>
  <c r="E14" i="2"/>
  <c r="E15" i="5" s="1"/>
  <c r="I15" s="1"/>
  <c r="J15" s="1"/>
  <c r="G36" i="2"/>
  <c r="M36" i="5" s="1"/>
  <c r="G37" i="2"/>
  <c r="M37" i="5" s="1"/>
  <c r="G38" i="2"/>
  <c r="M38" i="5" s="1"/>
  <c r="G40" i="2"/>
  <c r="M40" i="5" s="1"/>
  <c r="G41" i="2"/>
  <c r="M41" i="5" s="1"/>
  <c r="F25" i="6" l="1"/>
  <c r="I25" s="1"/>
  <c r="H29" i="2"/>
  <c r="E39"/>
  <c r="H39" s="1"/>
  <c r="N29" i="5"/>
  <c r="P29" s="1"/>
  <c r="H32" i="2"/>
  <c r="M32" i="5"/>
  <c r="N32" s="1"/>
  <c r="P32" s="1"/>
  <c r="E23" i="3"/>
  <c r="F14" i="6" s="1"/>
  <c r="I14" s="1"/>
  <c r="F59" i="3"/>
  <c r="F20" i="6" s="1"/>
  <c r="I20" s="1"/>
  <c r="D96" i="3"/>
  <c r="D103"/>
  <c r="E48"/>
  <c r="E73"/>
  <c r="F23" i="6" s="1"/>
  <c r="I23" s="1"/>
  <c r="G35" i="2"/>
  <c r="M35" i="5" s="1"/>
  <c r="D28" i="3" l="1"/>
  <c r="E16" i="2" s="1"/>
  <c r="E17" i="5" s="1"/>
  <c r="I17" s="1"/>
  <c r="J17" s="1"/>
  <c r="E41" i="2"/>
  <c r="H41" s="1"/>
  <c r="E38"/>
  <c r="E38" i="5" s="1"/>
  <c r="I38" s="1"/>
  <c r="E19" i="2"/>
  <c r="E20" i="5" s="1"/>
  <c r="I20" s="1"/>
  <c r="J20" s="1"/>
  <c r="F18" i="6"/>
  <c r="I18" s="1"/>
  <c r="I17" s="1"/>
  <c r="D12" i="8" s="1"/>
  <c r="E39" i="5"/>
  <c r="I39" s="1"/>
  <c r="J39" s="1"/>
  <c r="E31" i="2"/>
  <c r="E31" i="5" s="1"/>
  <c r="I31" s="1"/>
  <c r="J31" s="1"/>
  <c r="F27" i="6"/>
  <c r="I27" s="1"/>
  <c r="E30" i="2"/>
  <c r="E30" i="5" s="1"/>
  <c r="I30" s="1"/>
  <c r="J30" s="1"/>
  <c r="F26" i="6"/>
  <c r="I26" s="1"/>
  <c r="E35" i="2"/>
  <c r="E35" i="5" s="1"/>
  <c r="I35" s="1"/>
  <c r="J35" s="1"/>
  <c r="E36" i="2"/>
  <c r="E36" i="5" s="1"/>
  <c r="I36" s="1"/>
  <c r="J36" s="1"/>
  <c r="E37" i="2"/>
  <c r="D64" i="3"/>
  <c r="E23" i="2"/>
  <c r="E40"/>
  <c r="D78" i="3"/>
  <c r="E27" i="2"/>
  <c r="E27" i="5" s="1"/>
  <c r="I27" s="1"/>
  <c r="J27" s="1"/>
  <c r="E15" i="2"/>
  <c r="E16" i="5" s="1"/>
  <c r="I16" s="1"/>
  <c r="J16" s="1"/>
  <c r="F12" i="8" l="1"/>
  <c r="E12"/>
  <c r="F15" i="6"/>
  <c r="I15" s="1"/>
  <c r="H38" i="2"/>
  <c r="H36"/>
  <c r="E41" i="5"/>
  <c r="I41" s="1"/>
  <c r="J41" s="1"/>
  <c r="N35"/>
  <c r="P35" s="1"/>
  <c r="H35" i="2"/>
  <c r="N39" i="5"/>
  <c r="P39" s="1"/>
  <c r="E24" i="2"/>
  <c r="H24" s="1"/>
  <c r="F21" i="6"/>
  <c r="I21" s="1"/>
  <c r="I19" s="1"/>
  <c r="D14" i="8" s="1"/>
  <c r="E28" i="2"/>
  <c r="E28" i="5" s="1"/>
  <c r="I28" s="1"/>
  <c r="J28" s="1"/>
  <c r="F24" i="6"/>
  <c r="I24" s="1"/>
  <c r="I22" s="1"/>
  <c r="D16" i="8" s="1"/>
  <c r="N36" i="5"/>
  <c r="P36" s="1"/>
  <c r="H37" i="2"/>
  <c r="E37" i="5"/>
  <c r="I37" s="1"/>
  <c r="J38"/>
  <c r="N38"/>
  <c r="P38" s="1"/>
  <c r="H40" i="2"/>
  <c r="E40" i="5"/>
  <c r="I40" s="1"/>
  <c r="H23" i="2"/>
  <c r="E23" i="5"/>
  <c r="I23" s="1"/>
  <c r="I12" i="6" l="1"/>
  <c r="D10" i="8" s="1"/>
  <c r="E16"/>
  <c r="F14"/>
  <c r="N41" i="5"/>
  <c r="P41" s="1"/>
  <c r="E24"/>
  <c r="I24" s="1"/>
  <c r="N24" s="1"/>
  <c r="P24" s="1"/>
  <c r="H34" i="2"/>
  <c r="H22"/>
  <c r="J40" i="5"/>
  <c r="N40"/>
  <c r="P40" s="1"/>
  <c r="J23"/>
  <c r="N23"/>
  <c r="J37"/>
  <c r="N37"/>
  <c r="F16" i="8" l="1"/>
  <c r="J24" i="5"/>
  <c r="P37"/>
  <c r="P34" s="1"/>
  <c r="N34"/>
  <c r="P23"/>
  <c r="P22" s="1"/>
  <c r="N22"/>
  <c r="F10" i="8" l="1"/>
  <c r="E10"/>
  <c r="E22" s="1"/>
  <c r="B12" i="3"/>
  <c r="E11" i="2"/>
  <c r="E12" i="5" s="1"/>
  <c r="I12" s="1"/>
  <c r="G28" i="2"/>
  <c r="M28" i="5" s="1"/>
  <c r="N28" s="1"/>
  <c r="P28" s="1"/>
  <c r="G30" i="2"/>
  <c r="M30" i="5" s="1"/>
  <c r="N30" s="1"/>
  <c r="P30" s="1"/>
  <c r="G31" i="2"/>
  <c r="M31" i="5" s="1"/>
  <c r="N31" s="1"/>
  <c r="P31" s="1"/>
  <c r="G27" i="2"/>
  <c r="M27" i="5" s="1"/>
  <c r="N27" s="1"/>
  <c r="G19" i="2"/>
  <c r="M20" i="5" s="1"/>
  <c r="N20" s="1"/>
  <c r="G20" i="2"/>
  <c r="G15"/>
  <c r="M16" i="5" s="1"/>
  <c r="N16" s="1"/>
  <c r="P16" s="1"/>
  <c r="G16" i="2"/>
  <c r="M17" i="5" s="1"/>
  <c r="N17" s="1"/>
  <c r="P17" s="1"/>
  <c r="G14" i="2"/>
  <c r="M15" i="5" s="1"/>
  <c r="N15" s="1"/>
  <c r="G11" i="2"/>
  <c r="M12" i="5" s="1"/>
  <c r="B3" i="3"/>
  <c r="A3"/>
  <c r="N14" i="5" l="1"/>
  <c r="P15"/>
  <c r="P14" s="1"/>
  <c r="P27"/>
  <c r="P26" s="1"/>
  <c r="N26"/>
  <c r="N12"/>
  <c r="J12"/>
  <c r="P20"/>
  <c r="P19" s="1"/>
  <c r="N19"/>
  <c r="H19" i="2"/>
  <c r="H18" s="1"/>
  <c r="H27"/>
  <c r="H28"/>
  <c r="H31"/>
  <c r="E20"/>
  <c r="H20" s="1"/>
  <c r="H11"/>
  <c r="H30"/>
  <c r="D153" i="1"/>
  <c r="N11" i="5" l="1"/>
  <c r="P12"/>
  <c r="P11" s="1"/>
  <c r="P44" s="1"/>
  <c r="N44" s="1"/>
  <c r="H26" i="2"/>
  <c r="H14"/>
  <c r="J14" s="1"/>
  <c r="J13" s="1"/>
  <c r="H10"/>
  <c r="D170" i="1"/>
  <c r="D168"/>
  <c r="D167"/>
  <c r="F78"/>
  <c r="E78"/>
  <c r="C78"/>
  <c r="F76"/>
  <c r="D76"/>
  <c r="F74"/>
  <c r="E74"/>
  <c r="C74"/>
  <c r="G72"/>
  <c r="G71"/>
  <c r="F125"/>
  <c r="F122"/>
  <c r="F121"/>
  <c r="F120"/>
  <c r="F117"/>
  <c r="F118"/>
  <c r="F119"/>
  <c r="F123"/>
  <c r="F124"/>
  <c r="D104"/>
  <c r="D102"/>
  <c r="D103"/>
  <c r="D100"/>
  <c r="D101"/>
  <c r="D99"/>
  <c r="J27" i="2" l="1"/>
  <c r="H15"/>
  <c r="H16"/>
  <c r="D105" i="1"/>
  <c r="D80"/>
  <c r="F79"/>
  <c r="E79"/>
  <c r="C79"/>
  <c r="D77"/>
  <c r="D82" s="1"/>
  <c r="F86" s="1"/>
  <c r="C73"/>
  <c r="C72"/>
  <c r="C75"/>
  <c r="E75"/>
  <c r="F75"/>
  <c r="G73"/>
  <c r="G82" s="1"/>
  <c r="F55"/>
  <c r="F54"/>
  <c r="F53"/>
  <c r="F52"/>
  <c r="F51"/>
  <c r="F50"/>
  <c r="E28"/>
  <c r="F17"/>
  <c r="F18"/>
  <c r="F19"/>
  <c r="F20"/>
  <c r="F21"/>
  <c r="F22"/>
  <c r="F82" l="1"/>
  <c r="E82"/>
  <c r="H13" i="2"/>
  <c r="H43" s="1"/>
  <c r="J8" i="5" s="1"/>
  <c r="O8" s="1"/>
  <c r="Q8" s="1"/>
  <c r="C82" i="1"/>
  <c r="F85" s="1"/>
  <c r="C86"/>
  <c r="F37"/>
  <c r="L13" i="2" l="1"/>
  <c r="D171" i="1"/>
  <c r="F194"/>
  <c r="F193"/>
  <c r="D172" l="1"/>
  <c r="F195"/>
  <c r="F49" l="1"/>
  <c r="F56" l="1"/>
  <c r="D133"/>
  <c r="D128"/>
  <c r="C150"/>
  <c r="F116"/>
  <c r="F115"/>
  <c r="C87" l="1"/>
  <c r="F87"/>
  <c r="C88"/>
  <c r="F88"/>
  <c r="C89"/>
  <c r="F89"/>
  <c r="D152"/>
  <c r="D154" s="1"/>
  <c r="D155" s="1"/>
  <c r="D158"/>
  <c r="D157"/>
  <c r="F126"/>
  <c r="C141" s="1"/>
  <c r="D144" s="1"/>
  <c r="C109"/>
  <c r="D109" s="1"/>
  <c r="F43"/>
  <c r="F36"/>
  <c r="F35"/>
  <c r="F34"/>
  <c r="F16"/>
  <c r="F10"/>
  <c r="F90" l="1"/>
  <c r="E92" s="1"/>
  <c r="E94" s="1"/>
  <c r="F38"/>
  <c r="C85"/>
  <c r="D143"/>
  <c r="D131"/>
  <c r="D135"/>
  <c r="D136" s="1"/>
  <c r="D130"/>
  <c r="D137"/>
  <c r="F44"/>
  <c r="F23"/>
  <c r="E29"/>
  <c r="F11"/>
  <c r="D59" l="1"/>
  <c r="D62" s="1"/>
  <c r="D63" s="1"/>
  <c r="D64" s="1"/>
  <c r="I38" i="6"/>
  <c r="I37"/>
  <c r="I39"/>
  <c r="I40"/>
  <c r="I43"/>
  <c r="I44"/>
  <c r="I41"/>
  <c r="I36" l="1"/>
  <c r="D20" i="8" s="1"/>
  <c r="D22" s="1"/>
  <c r="I9" i="6" l="1"/>
  <c r="I45" s="1"/>
  <c r="D4" i="8" s="1"/>
  <c r="F20"/>
  <c r="F22" s="1"/>
  <c r="D17"/>
  <c r="D19" l="1"/>
  <c r="E21"/>
  <c r="F21"/>
  <c r="D13"/>
  <c r="D9"/>
  <c r="D15"/>
  <c r="D7"/>
  <c r="D11"/>
  <c r="D21" l="1"/>
</calcChain>
</file>

<file path=xl/sharedStrings.xml><?xml version="1.0" encoding="utf-8"?>
<sst xmlns="http://schemas.openxmlformats.org/spreadsheetml/2006/main" count="923" uniqueCount="488">
  <si>
    <t>Obra:</t>
  </si>
  <si>
    <t>Estrutura</t>
  </si>
  <si>
    <t>Quantidade</t>
  </si>
  <si>
    <t>Comprimento(m)</t>
  </si>
  <si>
    <t>Largura(m)</t>
  </si>
  <si>
    <t>Altura(m)</t>
  </si>
  <si>
    <t>Volume(m³)</t>
  </si>
  <si>
    <t>m³</t>
  </si>
  <si>
    <t>BALDRAME</t>
  </si>
  <si>
    <t>SAPATAS</t>
  </si>
  <si>
    <t>LAJE BALDRAME</t>
  </si>
  <si>
    <t>L1</t>
  </si>
  <si>
    <t>PILARES</t>
  </si>
  <si>
    <t>1.0) CONCRETO:</t>
  </si>
  <si>
    <t>CORTINA DE CONTENÇÃO</t>
  </si>
  <si>
    <t>Q</t>
  </si>
  <si>
    <t>'</t>
  </si>
  <si>
    <t>VOLUME TOTAL DE CONCRETO ATÉ 1ª LAJE =</t>
  </si>
  <si>
    <t>M³</t>
  </si>
  <si>
    <t>SACOS DE CIMENTO 50 KG =</t>
  </si>
  <si>
    <t>QUANTIDADE DE MATERIAL</t>
  </si>
  <si>
    <t>AREIA MÉDIA =</t>
  </si>
  <si>
    <t>BRITA =</t>
  </si>
  <si>
    <t>SACOS</t>
  </si>
  <si>
    <t>ɸ 5.0</t>
  </si>
  <si>
    <t>ɸ 8</t>
  </si>
  <si>
    <t>ɸ 10</t>
  </si>
  <si>
    <t>ɸ 12.5</t>
  </si>
  <si>
    <t>COMPRIMENTO</t>
  </si>
  <si>
    <t>ESTRUTURA</t>
  </si>
  <si>
    <t>COMPRIMENTO (M)</t>
  </si>
  <si>
    <t>CORTINA</t>
  </si>
  <si>
    <t>VIGAS DE TRAVAMENTO</t>
  </si>
  <si>
    <t>COMPRIMENTO TOTAL =</t>
  </si>
  <si>
    <t>ɸ 8 =</t>
  </si>
  <si>
    <t>ɸ 10 =</t>
  </si>
  <si>
    <t>ɸ 12.5 =</t>
  </si>
  <si>
    <t>BARRAS</t>
  </si>
  <si>
    <t>QUANTIDADE DE AÇO</t>
  </si>
  <si>
    <t>2.0) AÇO ( DE ACORDO COM PROJETO ESTRUTURAL FORNECIDO):</t>
  </si>
  <si>
    <t>ALTURA</t>
  </si>
  <si>
    <t>PAREDES</t>
  </si>
  <si>
    <t>QUANTIDADE</t>
  </si>
  <si>
    <t>ÁREA (M²)</t>
  </si>
  <si>
    <t>M²</t>
  </si>
  <si>
    <t>ÁREA TOTAL DE ALVENARIA EM BLOCO =</t>
  </si>
  <si>
    <t>QUANT./M²</t>
  </si>
  <si>
    <t>PAREDES E TETO</t>
  </si>
  <si>
    <t>LADOS</t>
  </si>
  <si>
    <t xml:space="preserve">PAREDES </t>
  </si>
  <si>
    <t>TETO</t>
  </si>
  <si>
    <t>ÁREA TOTAL DE CHAPISCO E EMBOÇO =</t>
  </si>
  <si>
    <t>M</t>
  </si>
  <si>
    <t xml:space="preserve">         CHAPISCO 1:3 /  ESPESSURA 5MM =</t>
  </si>
  <si>
    <t>AREIA GROSSA =</t>
  </si>
  <si>
    <t xml:space="preserve">  EMBOÇO 1:2:9/  ESPESSURA 20MM =</t>
  </si>
  <si>
    <t>AGROFILITO 18 LITROS =</t>
  </si>
  <si>
    <t>ITENS</t>
  </si>
  <si>
    <t>CAIXA DE INSPEÇÃO DE POLIETILENO , Ø 100 MM</t>
  </si>
  <si>
    <t>CAIXA DE GORDURA DE POLIETILENO , Ø 50 X 100 MM</t>
  </si>
  <si>
    <t xml:space="preserve">CAIXA DE PASSAGEM EM ALVENARIA 60 X 60 X 40 CM COM TAMPA EM GRELHA DE AÇO </t>
  </si>
  <si>
    <t>TUBO DE CONCRETO SIMPLES PS1 D = 300 MM - 1M</t>
  </si>
  <si>
    <t>TUBO PVC ESGOTO PB ɸ 100MM - 6M</t>
  </si>
  <si>
    <t>RECEPTÁCULO DE LOUÇA</t>
  </si>
  <si>
    <t>ARANDELA OU SPOT</t>
  </si>
  <si>
    <t>LÂMPADA FLUORESCENTE COMPACTA 15W-127V-</t>
  </si>
  <si>
    <t>TOMADA SIMPLES - 2P + T - 10A COM PLACA</t>
  </si>
  <si>
    <t>DISJUNTOR MONOPOLAR TERMOMAGNÉTICO 5KA, DE 20A</t>
  </si>
  <si>
    <t>FIO RÍGIDO ISOLAÇÃO EM PVC 450/750V # 4,00 MM2</t>
  </si>
  <si>
    <t>FIO RÍGIDO ISOLAÇÃO EM PVC 450/750V # 2,50 MM2</t>
  </si>
  <si>
    <t>6.0) INSTALAÇÃO HIDROSSANITÁRIA (DE ACORDO COM PROJETO FORNECIDO):</t>
  </si>
  <si>
    <t>ÁREA IGUAL ÁREA DE EMBOÇO =</t>
  </si>
  <si>
    <t>m²</t>
  </si>
  <si>
    <t>TINTA LÁTEX OU ACRÍLICA (18L) =</t>
  </si>
  <si>
    <t>latas</t>
  </si>
  <si>
    <t xml:space="preserve">SELADOR ACRÍLICO (lata 18L)= </t>
  </si>
  <si>
    <t>Trincha nº 3,0</t>
  </si>
  <si>
    <t>Rolo de espuma polietileno 22cm</t>
  </si>
  <si>
    <t>unidades</t>
  </si>
  <si>
    <t xml:space="preserve">CONDUITE DE PVC CORRUGADO  ½”  (ROLO COM 50M)                                                         </t>
  </si>
  <si>
    <t>Quantitativo de material - memoria de cálculo</t>
  </si>
  <si>
    <t>Construção de Salão Multiuso</t>
  </si>
  <si>
    <t xml:space="preserve">VIGAS DE TRAVAMENTO </t>
  </si>
  <si>
    <t>LAJE</t>
  </si>
  <si>
    <t>CAL HIDRATADA =</t>
  </si>
  <si>
    <t>ÁREA IGUAL ÁREA DE TETO =</t>
  </si>
  <si>
    <t>ARGAMASSA COLANTE =</t>
  </si>
  <si>
    <t>REJUNTE =</t>
  </si>
  <si>
    <t xml:space="preserve">PISO CERÂMICO + RODAPÉ = </t>
  </si>
  <si>
    <t>M² - PISO</t>
  </si>
  <si>
    <t>M² - RODAPÉ</t>
  </si>
  <si>
    <t>PERDAS (10%) =</t>
  </si>
  <si>
    <t>KG</t>
  </si>
  <si>
    <t>PACOTES</t>
  </si>
  <si>
    <t>INTERRUPTOR COM PLACA</t>
  </si>
  <si>
    <t>QUADRO PARA 12 DISJUNTORES MONOPOLAR</t>
  </si>
  <si>
    <t>3.0) ARAME RECOZIDO:</t>
  </si>
  <si>
    <t>CONSIDERANDO 10g P/KG DE FERRO =</t>
  </si>
  <si>
    <t>G</t>
  </si>
  <si>
    <t>5.0) CHAPISCO E EMBOÇO:</t>
  </si>
  <si>
    <t>6.0) PINTURA:</t>
  </si>
  <si>
    <t>7.0) PISO:</t>
  </si>
  <si>
    <t>8.0) COBERTURA:</t>
  </si>
  <si>
    <t>9.0) INSTALAÇÃO ELÉTRICA (DE ACORDO COM PROJETO FORNECIDO):</t>
  </si>
  <si>
    <t>TELHA COLONIAL ROMANA (16UNID/M²)</t>
  </si>
  <si>
    <t>UNID</t>
  </si>
  <si>
    <t>PERDAS (5%) =</t>
  </si>
  <si>
    <t>PEÇAS</t>
  </si>
  <si>
    <t>VIGA DE ANGELIM - 5m =</t>
  </si>
  <si>
    <t xml:space="preserve">CAIBRO - 5m = </t>
  </si>
  <si>
    <t>RIPA - 4,50m =</t>
  </si>
  <si>
    <t>QUANTIDADE DE LAJOTA</t>
  </si>
  <si>
    <t>QUANTID.LAJOTAS + 10%(PERDAS)</t>
  </si>
  <si>
    <t>LAJOTAS</t>
  </si>
  <si>
    <t>VF 202</t>
  </si>
  <si>
    <t xml:space="preserve">VF 101 </t>
  </si>
  <si>
    <t>VF 203</t>
  </si>
  <si>
    <t>VF 204</t>
  </si>
  <si>
    <t>VF 205</t>
  </si>
  <si>
    <t>VF 206</t>
  </si>
  <si>
    <t>VF 207</t>
  </si>
  <si>
    <t>Área (m)</t>
  </si>
  <si>
    <t>9;12;14</t>
  </si>
  <si>
    <t>V201 / 301</t>
  </si>
  <si>
    <t>LAJE FUNDO E TOPO</t>
  </si>
  <si>
    <t>ɸ 6.3</t>
  </si>
  <si>
    <t>ɸ 5.0 =</t>
  </si>
  <si>
    <t>ɸ 6.3 =</t>
  </si>
  <si>
    <t>4.0) BLOCO DE CONCRETO: 0,15X0,20X0,40</t>
  </si>
  <si>
    <t>1;2;3;4;5;6;7;8;9;10;11;12;13;14;15</t>
  </si>
  <si>
    <t>1;2;3;4;5;6</t>
  </si>
  <si>
    <t>7;8;11</t>
  </si>
  <si>
    <t>10;13;15</t>
  </si>
  <si>
    <t>PILARES - P1 A P6</t>
  </si>
  <si>
    <t>PILARES - P7 A P15</t>
  </si>
  <si>
    <t>VIGA DE ANGELIM - 5,5m =</t>
  </si>
  <si>
    <t>VIGA DE ANGELIM - 4,5m =</t>
  </si>
  <si>
    <t>VIGA DE ANGELIM - 4,0m =</t>
  </si>
  <si>
    <t>VIGA DE ANGELIM - 1,5m =</t>
  </si>
  <si>
    <t>ANEXO I - PLANILHA ORÇAMENTÁRIA DE CUSTOS</t>
  </si>
  <si>
    <t xml:space="preserve">DATA: </t>
  </si>
  <si>
    <t xml:space="preserve">FORMA DE EXECUÇÃO: </t>
  </si>
  <si>
    <t>(    )</t>
  </si>
  <si>
    <t>DIRETA</t>
  </si>
  <si>
    <t>(  X )</t>
  </si>
  <si>
    <t>INDIRETA</t>
  </si>
  <si>
    <t>LDI adotado</t>
  </si>
  <si>
    <t>ITEM</t>
  </si>
  <si>
    <t>CÓDIGO</t>
  </si>
  <si>
    <t>DESCRIÇÃO</t>
  </si>
  <si>
    <t>UNIDADE</t>
  </si>
  <si>
    <t>PREÇO UNITÁRIO S/ LDI</t>
  </si>
  <si>
    <t>PREÇO UNITÁRIO C/ LDI</t>
  </si>
  <si>
    <t>PREÇO TOTAL</t>
  </si>
  <si>
    <t>INSTALAÇÕES INICIAIS DA OBRA / LOCAÇÃO</t>
  </si>
  <si>
    <t>1.1</t>
  </si>
  <si>
    <t>UN</t>
  </si>
  <si>
    <t>2.1</t>
  </si>
  <si>
    <t>2.2</t>
  </si>
  <si>
    <t>2.3</t>
  </si>
  <si>
    <t>3.1</t>
  </si>
  <si>
    <t>3.2</t>
  </si>
  <si>
    <t>4.1</t>
  </si>
  <si>
    <t>4.2</t>
  </si>
  <si>
    <t>5.1</t>
  </si>
  <si>
    <t>5.2</t>
  </si>
  <si>
    <t>6.1</t>
  </si>
  <si>
    <t>6.2</t>
  </si>
  <si>
    <t>6.3</t>
  </si>
  <si>
    <t>6.4</t>
  </si>
  <si>
    <t>6.5</t>
  </si>
  <si>
    <t>6.6</t>
  </si>
  <si>
    <t>PLU-CON-005</t>
  </si>
  <si>
    <t>CONDUTOR DE AP DO TELHADO EM TUBO PVC ESGOTO, INCLUSIVE CONEXÕES E SUPORTES, 100 MM</t>
  </si>
  <si>
    <t>REV-CHA-005</t>
  </si>
  <si>
    <t>REV-EMB-005</t>
  </si>
  <si>
    <t>EMBOÇO COM ARGAMASSA 1:6, CIMENTO E AREIA</t>
  </si>
  <si>
    <t>PIN-ESM-005</t>
  </si>
  <si>
    <t>PINTURA ÓLEO/ESMALTE, 2 DEMÃOS EM ESQUADRIAS DE FERRO</t>
  </si>
  <si>
    <t>PIN-ESM-015</t>
  </si>
  <si>
    <t>TOTAL GERAL DA OBRA</t>
  </si>
  <si>
    <t>Carimbo, CREA e assinatura do engenheiro RT pela elaboração da planilha</t>
  </si>
  <si>
    <t>Carimbo e assinatura do prefeito</t>
  </si>
  <si>
    <t>ANEXO III - MEMÓRIA DE CÁLCULO</t>
  </si>
  <si>
    <t>m2</t>
  </si>
  <si>
    <t>Lados</t>
  </si>
  <si>
    <t>Idem ao engradamento =</t>
  </si>
  <si>
    <t>m</t>
  </si>
  <si>
    <t>ALVENARIAS E DIVISÕES</t>
  </si>
  <si>
    <t>ALV-BLO-045</t>
  </si>
  <si>
    <t>5.3</t>
  </si>
  <si>
    <t>5.4</t>
  </si>
  <si>
    <t>5.5</t>
  </si>
  <si>
    <t>Larg.(m)</t>
  </si>
  <si>
    <t>Comp.(m)</t>
  </si>
  <si>
    <t>Quant.</t>
  </si>
  <si>
    <t>COBERTURA</t>
  </si>
  <si>
    <t>Idem ao chapisco =</t>
  </si>
  <si>
    <t>ALVENARIA DE BLOCO DE CONCRETO E = 20 CM, A REVESTIR, PORTANTE - BLOCO FCK = 4,5 MPA</t>
  </si>
  <si>
    <t xml:space="preserve">FORNECIMENTO E COLOCAÇÃO DE PLACA DE OBRA EM CHAPA GALVANIZADA (3,00 X 1,50M) </t>
  </si>
  <si>
    <t>PINTURA ÓLEO/ESMALTE, 2 DEMÃOS EM ESQUADRIA MADEIRA SEM MASSA</t>
  </si>
  <si>
    <r>
      <t xml:space="preserve">PREFEITURA: </t>
    </r>
    <r>
      <rPr>
        <sz val="10"/>
        <color indexed="8"/>
        <rFont val="Arial"/>
        <family val="2"/>
      </rPr>
      <t>PEDRO TEIXEIRA</t>
    </r>
  </si>
  <si>
    <r>
      <t>FOLHA Nº:</t>
    </r>
    <r>
      <rPr>
        <sz val="10"/>
        <color indexed="8"/>
        <rFont val="Arial"/>
        <family val="2"/>
      </rPr>
      <t xml:space="preserve"> 01/01</t>
    </r>
  </si>
  <si>
    <r>
      <t>OBRA:</t>
    </r>
    <r>
      <rPr>
        <sz val="10"/>
        <color indexed="8"/>
        <rFont val="Arial"/>
        <family val="2"/>
      </rPr>
      <t xml:space="preserve"> REFORMA FARMACIA DE MINAS</t>
    </r>
  </si>
  <si>
    <r>
      <t xml:space="preserve">LOCAL: </t>
    </r>
    <r>
      <rPr>
        <sz val="10"/>
        <color indexed="8"/>
        <rFont val="Arial"/>
        <family val="2"/>
      </rPr>
      <t>RUA CORONEL JOÃO JACINTO S/Nº - CENTRO - PEDRO TEIXEIRA /MG</t>
    </r>
  </si>
  <si>
    <t>PIN-ACR-015</t>
  </si>
  <si>
    <r>
      <t>REFERENCIA:</t>
    </r>
    <r>
      <rPr>
        <sz val="10"/>
        <color indexed="8"/>
        <rFont val="Arial"/>
        <family val="2"/>
      </rPr>
      <t xml:space="preserve"> SETOP JUNHO 2015</t>
    </r>
  </si>
  <si>
    <t xml:space="preserve">DEMOLIÇÕES E REMOÇÕES </t>
  </si>
  <si>
    <t>REMOÇÃO DE CALHA GALVANIZADA OU PVC, INCLUSIVE AFASTAMENTO</t>
  </si>
  <si>
    <t>DEM-CAL-005</t>
  </si>
  <si>
    <t>DEM-ENG-005</t>
  </si>
  <si>
    <t>DEMOLIÇÃO DE ENGRADAMENTO DE TELHA METÁLICA, PVC OU FIBROCIMENTO, INCLUSIVE EMPILHAMENTO</t>
  </si>
  <si>
    <t>DEM-TEL-015</t>
  </si>
  <si>
    <t>REMOÇÃO DE TELHA ONDULADA DE FIBROCIMENTO, INCLUSIVE AFASTAMENTO E EMPILHAMENTO</t>
  </si>
  <si>
    <t>PIN-LIX-005</t>
  </si>
  <si>
    <t>LIXAMENTO DE PINTURA DE PAREDE</t>
  </si>
  <si>
    <t xml:space="preserve">PINTURA </t>
  </si>
  <si>
    <t>REVESTIMENTO</t>
  </si>
  <si>
    <t>CHAPISCO DE PAREDES COM ARGAMASSA 1:3 CIMENTO E AREIA, A COLHER</t>
  </si>
  <si>
    <t>PIN-SEL-005</t>
  </si>
  <si>
    <t>PIN-ACR-005</t>
  </si>
  <si>
    <t>PREPARAÇÃO PARA PINTURA EM PAREDES E TETOS, PVA/ACRÍLICA COM FUNDO SELADOR</t>
  </si>
  <si>
    <t>PINTURA ACRÍLICA COM EMASSAMENTO COR BRANCA</t>
  </si>
  <si>
    <t xml:space="preserve">PINTURA ACRÍLICA VERDE, REF.: 10GY71/180, "CAPIM - LIMÃO" CORAL SOBRE TEXTURA </t>
  </si>
  <si>
    <t>Área.(m2)</t>
  </si>
  <si>
    <t>Inclinação</t>
  </si>
  <si>
    <t>Aumento do beiral para troca do telhado</t>
  </si>
  <si>
    <t>Alt..(m)</t>
  </si>
  <si>
    <t xml:space="preserve">idem ao item cobertura = </t>
  </si>
  <si>
    <t>Comp.total (m)</t>
  </si>
  <si>
    <t>LOCAL</t>
  </si>
  <si>
    <t>I.S. PÚBLICO</t>
  </si>
  <si>
    <t>ASSIT.FARM.</t>
  </si>
  <si>
    <t>COPA</t>
  </si>
  <si>
    <r>
      <t xml:space="preserve">PRAZO DE EXECUÇÃO: </t>
    </r>
    <r>
      <rPr>
        <sz val="10"/>
        <color indexed="8"/>
        <rFont val="Arial"/>
        <family val="2"/>
      </rPr>
      <t>02 MESES</t>
    </r>
  </si>
  <si>
    <t xml:space="preserve">HID-DAG-015 </t>
  </si>
  <si>
    <t xml:space="preserve">CAIXA DÁGUA DE POLIETILENO COM TAMPA 1000 L </t>
  </si>
  <si>
    <t>Este memorial possui quatro (4) paginas e encerra-se nesta data</t>
  </si>
  <si>
    <t>COB-TEL-045</t>
  </si>
  <si>
    <t>COBERTURA EM TELHA METÁLICA GALVANIZADA TRAPEZOIDAL E = 0, 50 MM, SIMPLES</t>
  </si>
  <si>
    <t>EST-MET-035</t>
  </si>
  <si>
    <t>FORNECIMENTO, FABRICAÇÃO, TRANSPORTE E MONTAGEM DE ESTRUTURA METÁLICA PARA TELHADO SOBRE LAJE PARA TELHAS METÁLICAS</t>
  </si>
  <si>
    <t>CALHA DE CHAPA GALVANIZADA Nº. 26 GSG, DESENVOLVIMENTO = 75 CM</t>
  </si>
  <si>
    <t>PLU-CAL-085</t>
  </si>
  <si>
    <t>6.7</t>
  </si>
  <si>
    <t>PIN-LAT-006</t>
  </si>
  <si>
    <t>PINTURA LÁTEX PVA, EM TETOS, 2 DEMÃOS SEM MASSA CORRIDA, EXCLUSIVE FUNDO SELADOR</t>
  </si>
  <si>
    <t>IIO-PLA-005</t>
  </si>
  <si>
    <t>ALVENARIA DE TIJOLO CERÂMICO FURADO E = 15 CM, A REVESTIR</t>
  </si>
  <si>
    <t>ALV-TIJ-030</t>
  </si>
  <si>
    <t>5.6</t>
  </si>
  <si>
    <t>PLU-RUF-010</t>
  </si>
  <si>
    <t>FORNECIMENTO E INSTALAÇÃO DE RUFO EM CHAPA GALVANIZADA Nº. 24</t>
  </si>
  <si>
    <t>Pedro Teixeira MG, 02 de Fevereiro de 2016</t>
  </si>
  <si>
    <t>PREFEITURA:  PREFEITURA MUNICIPAL DE PEDRO TEIXEIRA</t>
  </si>
  <si>
    <t>Concedente:</t>
  </si>
  <si>
    <t>BOLETIM DE MEDIÇÃO Nº:</t>
  </si>
  <si>
    <t xml:space="preserve">nº Folha </t>
  </si>
  <si>
    <t>CONTRATADA: COMERCIO CONSTRUTORA CONSERVADORA MLI LTDA</t>
  </si>
  <si>
    <t>RECURSO PRÓPRIO</t>
  </si>
  <si>
    <t>01</t>
  </si>
  <si>
    <t>Data O. S:</t>
  </si>
  <si>
    <t>Valor CT/ TA:</t>
  </si>
  <si>
    <t>Saldo Anterior:</t>
  </si>
  <si>
    <t>Esta medição:</t>
  </si>
  <si>
    <t>Saldo:</t>
  </si>
  <si>
    <t>SERVIÇOS EXECUTADOS</t>
  </si>
  <si>
    <t>QUANT.</t>
  </si>
  <si>
    <t>QUANTIDADES EXECUTADAS</t>
  </si>
  <si>
    <t>UNID.</t>
  </si>
  <si>
    <t>VALOR UNIT.</t>
  </si>
  <si>
    <t>VALORES EXECUTADOS R$</t>
  </si>
  <si>
    <t>PREVISTA (Plano de Trabalho)</t>
  </si>
  <si>
    <t>Anterior</t>
  </si>
  <si>
    <t>No período</t>
  </si>
  <si>
    <t>Acumulado</t>
  </si>
  <si>
    <t>m133</t>
  </si>
  <si>
    <t>m135</t>
  </si>
  <si>
    <r>
      <t xml:space="preserve">Cálculo do Reajuste: </t>
    </r>
    <r>
      <rPr>
        <sz val="9"/>
        <color indexed="8"/>
        <rFont val="Arial"/>
        <family val="2"/>
      </rPr>
      <t>0,00</t>
    </r>
  </si>
  <si>
    <t>Fator de Reajust. 0,00</t>
  </si>
  <si>
    <t xml:space="preserve">Contratante: </t>
  </si>
  <si>
    <t>Fiscalização/ Prefeitura</t>
  </si>
  <si>
    <t xml:space="preserve">Contratada: </t>
  </si>
  <si>
    <t>Engº Responsável técnico CREA</t>
  </si>
  <si>
    <t>Assinatura Prefeito</t>
  </si>
  <si>
    <t>Assinatura Engenheiro Prefeitura</t>
  </si>
  <si>
    <t>Assinatura do Responsável</t>
  </si>
  <si>
    <t>Assinatura Engenheiro Responsável</t>
  </si>
  <si>
    <t xml:space="preserve">ANEXO IX - BOLETIM DE MEDIÇÃO </t>
  </si>
  <si>
    <t>OBRA: REFORMA FARMACIA DE MINAS</t>
  </si>
  <si>
    <t>Data de Emissão: 04 DE JULHO 2016</t>
  </si>
  <si>
    <t>Licitação nº:   TP 02 / 2016</t>
  </si>
  <si>
    <t>Contrato nº:   0025/2016</t>
  </si>
  <si>
    <t>PERÍODO DE EXECUÇÃO : 16/06/2016 A 04/07/2016</t>
  </si>
  <si>
    <t>m136</t>
  </si>
  <si>
    <t>m137</t>
  </si>
  <si>
    <r>
      <t xml:space="preserve">Importa a presente medição em                </t>
    </r>
    <r>
      <rPr>
        <b/>
        <sz val="9"/>
        <color indexed="8"/>
        <rFont val="Arial"/>
        <family val="2"/>
      </rPr>
      <t>R$ 30.276,01</t>
    </r>
  </si>
  <si>
    <t xml:space="preserve">ISS: </t>
  </si>
  <si>
    <r>
      <t>PRAZO DE EXECUÇÃO: 2</t>
    </r>
    <r>
      <rPr>
        <b/>
        <sz val="10"/>
        <rFont val="Calibri"/>
        <family val="2"/>
      </rPr>
      <t xml:space="preserve"> meses </t>
    </r>
  </si>
  <si>
    <t>BDI:</t>
  </si>
  <si>
    <t>S/DESONERAÇÃO</t>
  </si>
  <si>
    <t>PREÇO UNIT.      S/ LDI</t>
  </si>
  <si>
    <t>PREÇO UNIT.      C/ LDI</t>
  </si>
  <si>
    <t>INSTALAÇÕES INICIAIS DA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</si>
  <si>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</si>
  <si>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</si>
  <si>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M2</t>
  </si>
  <si>
    <t>M3</t>
  </si>
  <si>
    <t>ED-48192</t>
  </si>
  <si>
    <t>ALVENARIA DE VEDAÇÃO COM BLOCO DE CONCRETO, ESP. 14CM, PARA REVESTIMENTO, INCLUSIVE ARGAMASSA PARA ASSENTAMENTO</t>
  </si>
  <si>
    <t xml:space="preserve">REVESTIMENTOS DE PAREDE INT./EXT. E TETO </t>
  </si>
  <si>
    <t>ED-50727</t>
  </si>
  <si>
    <t>CHAPISCO COM ARGAMASSA, TRAÇO 1:3 (CIMENTO E AREIA), ESP. 5MM, APLICADO EM ALVENARIA/ESTRUTURA DE CONCRETO COM COLHER, PREPARO MECÂNICO</t>
  </si>
  <si>
    <t>ED-50762</t>
  </si>
  <si>
    <t>REVESTIMENTO COM ARGAMASSA EM CAMADA ÚNICA, APLICADO EM PAREDE, TRAÇO 1:3 (CIMENTO E AREIA), ESP. 20MM, APLICAÇÃO MANUAL, PREPARO MECÂNICO</t>
  </si>
  <si>
    <t>ED-50675</t>
  </si>
  <si>
    <t>RUFO E CONTRA-RUFO DE CHAPA GALVANIZADA Nº. 24, DESENVOLVIMENTO = 15 CM</t>
  </si>
  <si>
    <t>ED-50656</t>
  </si>
  <si>
    <t>CALHA DE CHAPA GALVANIZADA Nº. 24 GSG, DESENVOLVIMENTO = 50 CM</t>
  </si>
  <si>
    <t>ED-48669</t>
  </si>
  <si>
    <t>FORNECIMENTO E ASSENTAMENTO DE TUBO PVC RÍGIDO, DRENAGEM/PLUVIAL, PBV - SÉRIE NORMAL, DN 100 MM (4"), INCLUSIVE CONEXÕES</t>
  </si>
  <si>
    <t>PINTURA</t>
  </si>
  <si>
    <t>ED-50514</t>
  </si>
  <si>
    <t>PREPARAÇÃO PARA EMASSAMENTO OU PINTURA (LÁTEX/ACRÍLICA) EM PAREDE, INCLUSIVE UMA (1) DEMÃO DE SELADOR ACRÍLICO</t>
  </si>
  <si>
    <t>ED-50499</t>
  </si>
  <si>
    <t>PINTURA LÁTEX (PVA) EM TETO, DUAS (2) DEMÃOS, EXCLUSIVE SELADOR ACRÍLICO E MASSA ACRÍLICA/CORRIDA (PVA)</t>
  </si>
  <si>
    <t>DEMOLIÇÃO E REMOÇÃO</t>
  </si>
  <si>
    <t>Carimbo e assinatura do engenheiro responsável técnico pela elaboração da planilha</t>
  </si>
  <si>
    <t>CREA</t>
  </si>
  <si>
    <t>REFORMA FARMÁCIA DE MINAS</t>
  </si>
  <si>
    <t>ED-48438</t>
  </si>
  <si>
    <t>ED-48454</t>
  </si>
  <si>
    <t>ED-48511</t>
  </si>
  <si>
    <t>ALVENARIA</t>
  </si>
  <si>
    <t>COMP. 01</t>
  </si>
  <si>
    <t>FORNECIMENTO DE ESTRUTURA METÁLICA E ENGRADAMENTO METÁLICO, EM AÇO, SOBRE LAJE PARA TELHA METÁLICA, EXCLUSIVE TELHA, INCLUSIVE FABRICAÇÃO, TRANSPORTE, MONTAGEM E E APLICAÇÃO DE FUNDO PREPARADOR ANTICORROSIVO, UMA (1) DEMÃO</t>
  </si>
  <si>
    <t>COBERTURA EM TELHA METÁLICA GALVANIZADA TRAPEZOIDAL, TIPO SIMPLES, ESP. 0,50MM, ACABAMENTO NATURAL, INCLUSIVE ACESSÓRIOS PARA FIXAÇÃO, FORNECIMENTO E INSTALAÇÃO</t>
  </si>
  <si>
    <t>ED-48428</t>
  </si>
  <si>
    <t>DESCRIÇÃO DO SERVIÇO OU FORNECIMENTO</t>
  </si>
  <si>
    <t>DATA BASE</t>
  </si>
  <si>
    <t>FONTE</t>
  </si>
  <si>
    <t>PREÇO REFERENCIAL</t>
  </si>
  <si>
    <t>SETOP</t>
  </si>
  <si>
    <t>DESCRIÇÃO DO INSUMO</t>
  </si>
  <si>
    <t>COEFICIENTE</t>
  </si>
  <si>
    <t>CUSTO UNITÁRIO</t>
  </si>
  <si>
    <t>CUSTO TOTAL</t>
  </si>
  <si>
    <t>ED 20558</t>
  </si>
  <si>
    <t>ESTRUTURA METÁLICA E ENGRADAMENTO METÁLICO PARA TELHADO, EXCLUSIVE PINTURA (FABRICAÇÃO)</t>
  </si>
  <si>
    <t>ED 20559</t>
  </si>
  <si>
    <t>ESTRUTURA METÁLICA E ENGRADAMENTO METÁLICO PARA TELHADO, EXCLUSIVE PINTURA (TRANSPORTE E MONTAGEM)</t>
  </si>
  <si>
    <t>FORNECIMENTO DE ESTRUTURA METÁLICA E ENGRADAMENTO METÁLICO SOBRE LAJE PARA TELHAS METÁLICA EXCLUSIVE FABRICAÇÃO, TRANSPORTE, MONTAGEM E PINTURA</t>
  </si>
  <si>
    <t>PINTURA ANTICORROSIVA A BASE DE ÓXIDO DE FERRO (ZARCÃO) EM ESQUADRIA E SUPERFÍCIE METÁLICA, UMA (1) DEMÃO</t>
  </si>
  <si>
    <t>LIXAMENTO MANUAL EM PAREDE PARA REMOÇÃO DE TINTA</t>
  </si>
  <si>
    <t>ED-50505</t>
  </si>
  <si>
    <t>ED-50451</t>
  </si>
  <si>
    <t xml:space="preserve">PINTURA ACRÍLICA EM PAREDE, DUAS (2) DEMÃOS, EXCLUSIVE SELADOR ACRÍLICO E MASSA ACRÍLICA/CORRIDA (PVA) </t>
  </si>
  <si>
    <t>DEMOLIÇÃO DE FORRO DE GESSO INCLUSIVE AFASTAMENTO E EMPILHAMENTO</t>
  </si>
  <si>
    <t>ED-48463</t>
  </si>
  <si>
    <t>2.4</t>
  </si>
  <si>
    <t>2,00 x 1,00 =</t>
  </si>
  <si>
    <t>LOCAL:  Rua Capitão João Mariano Dias nº96 - Centro - Bocaina de Minas /MG</t>
  </si>
  <si>
    <t>PREFEITURA: Bocaina de Minas</t>
  </si>
  <si>
    <t>VALOR DA OBRA:</t>
  </si>
  <si>
    <t>ETAPAS/DESCRIÇÃO</t>
  </si>
  <si>
    <t>FÍSICO/ FINANCEIRO</t>
  </si>
  <si>
    <t>TOTAL  ETAPAS</t>
  </si>
  <si>
    <t>MÊS 1</t>
  </si>
  <si>
    <t>Físico %</t>
  </si>
  <si>
    <t>Financeiro</t>
  </si>
  <si>
    <t>TOTAL</t>
  </si>
  <si>
    <t>RECEPÇÃO/ESPERA</t>
  </si>
  <si>
    <t>CIRCULAÇÃO</t>
  </si>
  <si>
    <t xml:space="preserve">RESIDUOS SOLIDOS </t>
  </si>
  <si>
    <t>ED-50515</t>
  </si>
  <si>
    <t>PREPARAÇÃO PARA EMASSAMENTO OU PINTURA (LÁTEX/ACRÍLICA) EM TETO, INCLUSIVE UMA (1) DEMÃO DE SELADOR ACRÍLICO</t>
  </si>
  <si>
    <t>PORTAS E JANELAS (SUBTRAIR) dimensão e quantidade</t>
  </si>
  <si>
    <t xml:space="preserve">COMP (M) </t>
  </si>
  <si>
    <t>ALTURA / LARGURA (M)</t>
  </si>
  <si>
    <t>0,80 x 2,10</t>
  </si>
  <si>
    <t>TOTAL DE REVESTIMENTOS DE PAREDE</t>
  </si>
  <si>
    <t>LIXAMENTO (M2)</t>
  </si>
  <si>
    <t>EMASSAMENTO (M2)</t>
  </si>
  <si>
    <t>PINTURA LÁTEX (M2)</t>
  </si>
  <si>
    <t>PINTURA ACRÍLICA(M2)</t>
  </si>
  <si>
    <t xml:space="preserve">PAREDES EXTERNAS </t>
  </si>
  <si>
    <t xml:space="preserve">MARQUISE </t>
  </si>
  <si>
    <t>DML</t>
  </si>
  <si>
    <t>I.S. FUNC.</t>
  </si>
  <si>
    <t xml:space="preserve">ALMOXARIFADO </t>
  </si>
  <si>
    <t>RECEPÇÃO/ ESPERA</t>
  </si>
  <si>
    <t xml:space="preserve">REVESTIMENTOS DE PAREDES </t>
  </si>
  <si>
    <t>EMASSAMENTO E PINTURA  TETO (M2)</t>
  </si>
  <si>
    <t>0,70 x 2,10</t>
  </si>
  <si>
    <t>1,00 x 1,00</t>
  </si>
  <si>
    <t>0,70 x 1,00</t>
  </si>
  <si>
    <t>0,90 x 2,10</t>
  </si>
  <si>
    <t>1,00 x 0,40</t>
  </si>
  <si>
    <t>2,40 x 2,25</t>
  </si>
  <si>
    <t>3,00 x 1,70</t>
  </si>
  <si>
    <t>1,50 x 1,70</t>
  </si>
  <si>
    <t>PINTURA ACRÍLICA (M2)</t>
  </si>
  <si>
    <t>PINTURA LÁTEX (PVA) EM PAREDE, DUAS (2) DEMÃOS, EXCLUSIVE SELADOR ACRÍLICO E MASSA ACRÍLICA/CORRIDA (PVA)</t>
  </si>
  <si>
    <t>ED-50498</t>
  </si>
  <si>
    <t xml:space="preserve">ED-50667 </t>
  </si>
  <si>
    <t>CHAPIM METÁLICO, COM PINGADEIRA, CHAPA GALVANIZADA Nº 24, DESENVOLVIMENTO = 35 CM</t>
  </si>
  <si>
    <t>FORRO DE GESSO EM PLACAS ACARTONADAS - FGA</t>
  </si>
  <si>
    <t>ED-49687</t>
  </si>
  <si>
    <t>ED-52311</t>
  </si>
  <si>
    <t>MANTA ISOLANTE PARA TELHADOS</t>
  </si>
  <si>
    <t>ED-48247</t>
  </si>
  <si>
    <t>CONSTRUÇÃO/MONTAGEM E DESMONTAGEM DE ANDAIME PARA REVESTIMENTO INTERNO DE FORROS</t>
  </si>
  <si>
    <t>5.7</t>
  </si>
  <si>
    <t>5.8</t>
  </si>
  <si>
    <t>5.9</t>
  </si>
  <si>
    <t>INSTALAÇÃO ELÉTRICA</t>
  </si>
  <si>
    <t xml:space="preserve">ED-50228 </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</si>
  <si>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</si>
  <si>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COMP. 02</t>
  </si>
  <si>
    <t>PLAFON LED QUADRADO/CIRCULAR DE EMBUTIR 20X20 24W, REFERÊNCIA SLIM AVANT</t>
  </si>
  <si>
    <t xml:space="preserve">ED-50373 </t>
  </si>
  <si>
    <t>ELETRICISTA COM ENCARGOS COMPLEMENTARES</t>
  </si>
  <si>
    <t>H</t>
  </si>
  <si>
    <t>COTAÇÃO</t>
  </si>
  <si>
    <t>001</t>
  </si>
  <si>
    <t xml:space="preserve">COTAÇÕES </t>
  </si>
  <si>
    <t>COTAÇÃO 11</t>
  </si>
  <si>
    <t>CNPJ</t>
  </si>
  <si>
    <t>NOME DA EMPRESA FORNECEDORA</t>
  </si>
  <si>
    <t>TELEFONE</t>
  </si>
  <si>
    <t>CONTATO</t>
  </si>
  <si>
    <t>DATA COTAÇÃO</t>
  </si>
  <si>
    <t>PREÇO COTADO</t>
  </si>
  <si>
    <t xml:space="preserve"> 18.126.995/0001-05</t>
  </si>
  <si>
    <t>REI MATERIAIS ELETRICO LTDA</t>
  </si>
  <si>
    <t>(32)3215-6292</t>
  </si>
  <si>
    <t>DANIEL</t>
  </si>
  <si>
    <t>23.456.051/0001-28</t>
  </si>
  <si>
    <t xml:space="preserve">NOVA ELETRICA JUIZ DE FORA EIRELI </t>
  </si>
  <si>
    <t>(32) 3221-7705</t>
  </si>
  <si>
    <t>THAINNA</t>
  </si>
  <si>
    <t xml:space="preserve">21.576.749/0001-51 </t>
  </si>
  <si>
    <t>ELETRO GUIMARAES IRMAOS LTDA</t>
  </si>
  <si>
    <t>3257-8700</t>
  </si>
  <si>
    <t>RAFAEL</t>
  </si>
  <si>
    <t xml:space="preserve">ED-49688 </t>
  </si>
  <si>
    <t>5.10</t>
  </si>
  <si>
    <t>COLOCAÇÃO DE MOLDURA DE GESSO</t>
  </si>
  <si>
    <t xml:space="preserve">ED-50516 </t>
  </si>
  <si>
    <t>PREPARAÇÃO PARA EMASSAMENTO OU PINTURA (LÁTEX/ACRÍLICA) EM PAREDE DE GESSO ACARTONADO (DRY-WALL) E FORRO DE GESSO, INCLUSIVE UMA (1) DEMÃO DE SELADOR ACRÍLICO</t>
  </si>
  <si>
    <t>ED-50486</t>
  </si>
  <si>
    <t>EMASSAMENTO EM FORRO DE GESSO COM MASSA CORRIDA (PVA), UMA (1) DEMÃO, INCLUSIVE LIXAMENTO PARA PINTURA</t>
  </si>
  <si>
    <t>7.1</t>
  </si>
  <si>
    <t>7.2</t>
  </si>
  <si>
    <t>7.3</t>
  </si>
  <si>
    <t>7.4</t>
  </si>
  <si>
    <t>7.5</t>
  </si>
  <si>
    <t>7.6</t>
  </si>
  <si>
    <t>7.7</t>
  </si>
  <si>
    <t>7.8</t>
  </si>
  <si>
    <t>Aumento do beiral para alteração do telhado</t>
  </si>
  <si>
    <t>Alt.(m)</t>
  </si>
  <si>
    <t>Área total (m)</t>
  </si>
  <si>
    <t>local</t>
  </si>
  <si>
    <t>RECEPÇÃO</t>
  </si>
  <si>
    <t>REVESTIMENTOS DE TETOS</t>
  </si>
  <si>
    <t>ATENDIMENTO  FARM.</t>
  </si>
  <si>
    <t>LIXAMENTO E PREPARAÇÃO PARA PINTURA (M2)</t>
  </si>
  <si>
    <t>ÁREA</t>
  </si>
  <si>
    <t>PREPARAÇÃO EM GESSO COM SELADOR (M2)</t>
  </si>
  <si>
    <t>EMASSAMENTO DE GESSO (M2)</t>
  </si>
  <si>
    <t>PREPARAÇÃO EM TETO SELADOR (M2)</t>
  </si>
  <si>
    <t>TOTAL DE REVESTIMENTOS DE TETO</t>
  </si>
  <si>
    <t xml:space="preserve">ED-50532 </t>
  </si>
  <si>
    <t>ED-20609</t>
  </si>
  <si>
    <t>MÊS 2</t>
  </si>
  <si>
    <r>
      <rPr>
        <b/>
        <sz val="10"/>
        <rFont val="Arial"/>
        <family val="2"/>
      </rPr>
      <t>PRAZO DA OBRA:</t>
    </r>
    <r>
      <rPr>
        <sz val="11"/>
        <color theme="1"/>
        <rFont val="Calibri"/>
        <family val="2"/>
        <scheme val="minor"/>
      </rPr>
      <t xml:space="preserve"> 2 meses</t>
    </r>
  </si>
  <si>
    <t>OBRA:  Troca de cobertura e pintura da Farmácia de Minas</t>
  </si>
  <si>
    <t>Bocaina de minas 10 de Janeiro de 2022</t>
  </si>
  <si>
    <t>ANEXO A - PLANILHA ORÇAMENTÁRIA DE CUSTOS</t>
  </si>
  <si>
    <t>ANEXO B - CRONOGRAMA FÍSICO-FINANCEIRO</t>
  </si>
  <si>
    <t>Anexo C - COMPOSIÇÕES DE CUSTO - NÃO DESONERADO</t>
  </si>
  <si>
    <t xml:space="preserve">identificação da Licitante: </t>
  </si>
  <si>
    <t>Carimbo e assinatura representante legal da Empresa</t>
  </si>
  <si>
    <t xml:space="preserve">CNPJ: </t>
  </si>
  <si>
    <t xml:space="preserve">Carimbo e assinatura do representante legal da Empresa </t>
  </si>
  <si>
    <t>Identificação da Licitante</t>
  </si>
  <si>
    <t>logotipo da licitante</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</si>
</sst>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quot;R$&quot;\ #,##0.00"/>
    <numFmt numFmtId="165" formatCode="0.000"/>
    <numFmt numFmtId="166" formatCode="&quot;R$&quot;#,##0.00"/>
    <numFmt numFmtId="167" formatCode="&quot;R$ &quot;#,##0.00"/>
    <numFmt numFmtId="168" formatCode="_(* #,##0.00_);_(* \(#,##0.00\);_(* &quot;-&quot;??_);_(@_)"/>
    <numFmt numFmtId="169" formatCode="0.000000"/>
    <numFmt numFmtId="170" formatCode="&quot;R$&quot;\ #,##0.00;&quot;R$&quot;\ #,##0.00;"/>
  </numFmts>
  <fonts count="62">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font>
    <font>
      <b/>
      <sz val="11"/>
      <color theme="1"/>
      <name val="Calibri"/>
      <family val="2"/>
    </font>
    <font>
      <b/>
      <i/>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i/>
      <sz val="11"/>
      <color rgb="FFFF0000"/>
      <name val="Calibri"/>
      <family val="2"/>
      <scheme val="minor"/>
    </font>
    <font>
      <b/>
      <sz val="11"/>
      <color rgb="FFFF0000"/>
      <name val="Calibri"/>
      <family val="2"/>
      <scheme val="minor"/>
    </font>
    <font>
      <sz val="11"/>
      <color theme="1"/>
      <name val="Calibri"/>
      <family val="2"/>
      <scheme val="minor"/>
    </font>
    <font>
      <b/>
      <sz val="10"/>
      <color indexed="8"/>
      <name val="Arial"/>
      <family val="2"/>
    </font>
    <font>
      <sz val="10"/>
      <name val="Arial"/>
      <family val="2"/>
    </font>
    <font>
      <b/>
      <sz val="9"/>
      <color indexed="8"/>
      <name val="Arial"/>
      <family val="2"/>
    </font>
    <font>
      <b/>
      <sz val="8"/>
      <color indexed="8"/>
      <name val="Arial"/>
      <family val="2"/>
    </font>
    <font>
      <sz val="8"/>
      <color indexed="8"/>
      <name val="Arial"/>
      <family val="2"/>
    </font>
    <font>
      <sz val="8"/>
      <color rgb="FFFF0000"/>
      <name val="Arial"/>
      <family val="2"/>
    </font>
    <font>
      <sz val="9"/>
      <color indexed="8"/>
      <name val="Arial"/>
      <family val="2"/>
    </font>
    <font>
      <sz val="8"/>
      <name val="Arial"/>
      <family val="2"/>
    </font>
    <font>
      <b/>
      <sz val="8"/>
      <name val="Arial"/>
      <family val="2"/>
    </font>
    <font>
      <sz val="8"/>
      <color theme="1"/>
      <name val="Arial"/>
      <family val="2"/>
    </font>
    <font>
      <sz val="8"/>
      <color theme="4" tint="-0.249977111117893"/>
      <name val="Arial"/>
      <family val="2"/>
    </font>
    <font>
      <b/>
      <sz val="9"/>
      <color theme="1"/>
      <name val="Arial"/>
      <family val="2"/>
    </font>
    <font>
      <b/>
      <sz val="8"/>
      <color theme="1"/>
      <name val="Arial"/>
      <family val="2"/>
    </font>
    <font>
      <sz val="9"/>
      <color theme="1"/>
      <name val="Arial"/>
      <family val="2"/>
    </font>
    <font>
      <sz val="10"/>
      <color indexed="8"/>
      <name val="Arial"/>
      <family val="2"/>
    </font>
    <font>
      <b/>
      <sz val="10"/>
      <name val="Arial"/>
      <family val="2"/>
    </font>
    <font>
      <b/>
      <sz val="11"/>
      <name val="Arial"/>
      <family val="2"/>
    </font>
    <font>
      <sz val="11"/>
      <name val="Arial"/>
      <family val="2"/>
    </font>
    <font>
      <sz val="11"/>
      <color theme="1"/>
      <name val="Arial"/>
      <family val="2"/>
    </font>
    <font>
      <b/>
      <sz val="11"/>
      <color theme="1"/>
      <name val="Arial"/>
      <family val="2"/>
    </font>
    <font>
      <sz val="10"/>
      <color theme="1"/>
      <name val="Arial"/>
      <family val="2"/>
    </font>
    <font>
      <sz val="12"/>
      <name val="Arial"/>
      <family val="2"/>
    </font>
    <font>
      <sz val="11"/>
      <color rgb="FFFF0000"/>
      <name val="Arial"/>
      <family val="2"/>
    </font>
    <font>
      <sz val="9"/>
      <name val="Arial"/>
      <family val="2"/>
    </font>
    <font>
      <b/>
      <sz val="12"/>
      <name val="Arial"/>
      <family val="2"/>
    </font>
    <font>
      <b/>
      <sz val="9"/>
      <name val="Arial"/>
      <family val="2"/>
    </font>
    <font>
      <sz val="11"/>
      <name val="Calibri"/>
      <family val="2"/>
      <scheme val="minor"/>
    </font>
    <font>
      <b/>
      <sz val="12"/>
      <color theme="1"/>
      <name val="Arial"/>
      <family val="2"/>
    </font>
    <font>
      <sz val="10"/>
      <color theme="1"/>
      <name val="Times New Roman"/>
      <family val="1"/>
    </font>
    <font>
      <sz val="9"/>
      <color rgb="FF000000"/>
      <name val="Arial"/>
      <family val="2"/>
    </font>
    <font>
      <b/>
      <sz val="9"/>
      <color rgb="FF000000"/>
      <name val="Arial"/>
      <family val="2"/>
    </font>
    <font>
      <b/>
      <sz val="5"/>
      <color rgb="FF000000"/>
      <name val="Arial"/>
      <family val="2"/>
    </font>
    <font>
      <b/>
      <sz val="8"/>
      <color rgb="FF000000"/>
      <name val="Arial"/>
      <family val="2"/>
    </font>
    <font>
      <sz val="10"/>
      <name val="Arial"/>
    </font>
    <font>
      <b/>
      <sz val="12"/>
      <color indexed="8"/>
      <name val="Calibri"/>
      <family val="2"/>
      <scheme val="minor"/>
    </font>
    <font>
      <b/>
      <sz val="10"/>
      <color rgb="FFC00000"/>
      <name val="Arial"/>
      <family val="2"/>
    </font>
    <font>
      <b/>
      <sz val="10"/>
      <name val="Calibri"/>
      <family val="2"/>
      <scheme val="minor"/>
    </font>
    <font>
      <b/>
      <sz val="10"/>
      <name val="Calibri"/>
      <family val="2"/>
    </font>
    <font>
      <b/>
      <sz val="10"/>
      <color theme="1"/>
      <name val="Calibri"/>
      <family val="2"/>
      <scheme val="minor"/>
    </font>
    <font>
      <sz val="8"/>
      <color indexed="12"/>
      <name val="Arial"/>
      <family val="2"/>
    </font>
    <font>
      <b/>
      <sz val="8"/>
      <color indexed="8"/>
      <name val="Calibri"/>
      <family val="2"/>
    </font>
    <font>
      <sz val="8"/>
      <color indexed="8"/>
      <name val="Calibri"/>
      <family val="2"/>
    </font>
    <font>
      <b/>
      <sz val="9"/>
      <color indexed="12"/>
      <name val="Arial"/>
      <family val="2"/>
    </font>
    <font>
      <b/>
      <sz val="10"/>
      <color theme="1"/>
      <name val="Arial"/>
      <family val="2"/>
    </font>
    <font>
      <sz val="10"/>
      <color rgb="FFFF0000"/>
      <name val="Arial"/>
      <family val="2"/>
    </font>
    <font>
      <b/>
      <sz val="10"/>
      <color rgb="FFFF0000"/>
      <name val="Arial"/>
      <family val="2"/>
    </font>
    <font>
      <sz val="12"/>
      <color theme="1"/>
      <name val="Calibri"/>
      <family val="2"/>
      <scheme val="minor"/>
    </font>
    <font>
      <sz val="8"/>
      <color theme="1"/>
      <name val="Calibri"/>
      <family val="2"/>
    </font>
    <font>
      <b/>
      <sz val="10"/>
      <color rgb="FFFF0000"/>
      <name val="Calibri"/>
      <family val="2"/>
      <scheme val="minor"/>
    </font>
    <font>
      <b/>
      <sz val="12"/>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B3B3B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3"/>
        <bgColor indexed="64"/>
      </patternFill>
    </fill>
    <fill>
      <patternFill patternType="solid">
        <fgColor indexed="9"/>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hair">
        <color indexed="64"/>
      </left>
      <right/>
      <top/>
      <bottom style="hair">
        <color indexed="64"/>
      </bottom>
      <diagonal/>
    </border>
    <border>
      <left style="hair">
        <color indexed="64"/>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s>
  <cellStyleXfs count="9">
    <xf numFmtId="0" fontId="0" fillId="0" borderId="0"/>
    <xf numFmtId="43" fontId="11" fillId="0" borderId="0" applyFont="0" applyFill="0" applyBorder="0" applyAlignment="0" applyProtection="0"/>
    <xf numFmtId="9" fontId="11" fillId="0" borderId="0" applyFont="0" applyFill="0" applyBorder="0" applyAlignment="0" applyProtection="0"/>
    <xf numFmtId="0" fontId="45" fillId="0" borderId="0"/>
    <xf numFmtId="9" fontId="45" fillId="0" borderId="0" applyFont="0" applyFill="0" applyBorder="0" applyAlignment="0" applyProtection="0"/>
    <xf numFmtId="43" fontId="11" fillId="0" borderId="0" applyFont="0" applyFill="0" applyBorder="0" applyAlignment="0" applyProtection="0"/>
    <xf numFmtId="168" fontId="45" fillId="0" borderId="0" applyFont="0" applyFill="0" applyBorder="0" applyAlignment="0" applyProtection="0"/>
    <xf numFmtId="0" fontId="13" fillId="0" borderId="0"/>
    <xf numFmtId="0" fontId="11" fillId="0" borderId="0"/>
  </cellStyleXfs>
  <cellXfs count="1149">
    <xf numFmtId="0" fontId="0" fillId="0" borderId="0" xfId="0"/>
    <xf numFmtId="2" fontId="0" fillId="0" borderId="0" xfId="0" applyNumberFormat="1"/>
    <xf numFmtId="0" fontId="0" fillId="0" borderId="1" xfId="0"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2" fontId="0" fillId="0" borderId="1" xfId="0" applyNumberFormat="1" applyFont="1" applyBorder="1" applyAlignment="1">
      <alignment horizontal="center"/>
    </xf>
    <xf numFmtId="2" fontId="0" fillId="0"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2" fontId="0" fillId="0" borderId="2" xfId="0" applyNumberFormat="1" applyFont="1" applyBorder="1" applyAlignment="1">
      <alignment horizontal="center" vertical="center"/>
    </xf>
    <xf numFmtId="0" fontId="0" fillId="0" borderId="0" xfId="0" quotePrefix="1"/>
    <xf numFmtId="0" fontId="0" fillId="0" borderId="2" xfId="0" applyBorder="1"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2" fontId="0" fillId="0" borderId="0" xfId="0" applyNumberFormat="1" applyAlignment="1">
      <alignment horizontal="center"/>
    </xf>
    <xf numFmtId="0" fontId="0" fillId="0" borderId="6" xfId="0" applyBorder="1" applyAlignment="1">
      <alignment horizontal="center"/>
    </xf>
    <xf numFmtId="0" fontId="1" fillId="0" borderId="0" xfId="0" applyFont="1" applyFill="1" applyBorder="1" applyAlignment="1"/>
    <xf numFmtId="0" fontId="3" fillId="0" borderId="0" xfId="0" applyFont="1" applyBorder="1" applyAlignment="1">
      <alignment horizontal="center" vertical="center"/>
    </xf>
    <xf numFmtId="0" fontId="0" fillId="0" borderId="0" xfId="0" applyBorder="1"/>
    <xf numFmtId="2" fontId="0" fillId="0" borderId="0" xfId="0" applyNumberFormat="1" applyBorder="1" applyAlignment="1">
      <alignment horizontal="center"/>
    </xf>
    <xf numFmtId="0" fontId="1" fillId="2" borderId="1" xfId="0" applyFont="1" applyFill="1" applyBorder="1"/>
    <xf numFmtId="0" fontId="1" fillId="2" borderId="3" xfId="0" applyFont="1" applyFill="1" applyBorder="1"/>
    <xf numFmtId="0" fontId="1" fillId="2" borderId="5" xfId="0" applyFont="1" applyFill="1" applyBorder="1"/>
    <xf numFmtId="0" fontId="1" fillId="2" borderId="9" xfId="0" applyFont="1" applyFill="1" applyBorder="1"/>
    <xf numFmtId="0" fontId="1" fillId="2" borderId="4" xfId="0" applyFont="1" applyFill="1" applyBorder="1"/>
    <xf numFmtId="0" fontId="4" fillId="2" borderId="1" xfId="0" applyFont="1" applyFill="1" applyBorder="1" applyAlignment="1">
      <alignment horizontal="left" vertical="center"/>
    </xf>
    <xf numFmtId="2" fontId="1" fillId="2" borderId="3" xfId="0" applyNumberFormat="1" applyFont="1" applyFill="1" applyBorder="1" applyAlignment="1">
      <alignment horizontal="right"/>
    </xf>
    <xf numFmtId="2" fontId="1" fillId="2" borderId="4" xfId="0" applyNumberFormat="1" applyFont="1" applyFill="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0" fontId="1" fillId="2" borderId="4" xfId="0" applyFont="1" applyFill="1" applyBorder="1" applyAlignment="1">
      <alignment horizontal="center"/>
    </xf>
    <xf numFmtId="0" fontId="0" fillId="0" borderId="0" xfId="0" applyFont="1"/>
    <xf numFmtId="0" fontId="0" fillId="0" borderId="1" xfId="0" applyBorder="1" applyAlignment="1">
      <alignment horizontal="center" vertical="center"/>
    </xf>
    <xf numFmtId="0" fontId="0" fillId="0" borderId="2" xfId="0" applyBorder="1" applyAlignment="1">
      <alignment horizontal="center"/>
    </xf>
    <xf numFmtId="2" fontId="0" fillId="0" borderId="2" xfId="0" applyNumberFormat="1" applyFill="1" applyBorder="1" applyAlignment="1">
      <alignment horizontal="center"/>
    </xf>
    <xf numFmtId="2" fontId="1" fillId="2" borderId="5" xfId="0" applyNumberFormat="1" applyFont="1" applyFill="1" applyBorder="1"/>
    <xf numFmtId="2" fontId="1" fillId="2" borderId="3" xfId="0" applyNumberFormat="1" applyFont="1" applyFill="1" applyBorder="1"/>
    <xf numFmtId="0" fontId="1" fillId="2" borderId="3" xfId="0" applyFont="1" applyFill="1" applyBorder="1" applyAlignment="1">
      <alignment horizontal="left"/>
    </xf>
    <xf numFmtId="0" fontId="1" fillId="2" borderId="7" xfId="0" applyFont="1" applyFill="1" applyBorder="1" applyAlignment="1">
      <alignment horizontal="left"/>
    </xf>
    <xf numFmtId="0" fontId="1" fillId="2" borderId="7" xfId="0" applyFont="1" applyFill="1" applyBorder="1"/>
    <xf numFmtId="2" fontId="0" fillId="3" borderId="3" xfId="0" applyNumberFormat="1" applyFont="1" applyFill="1" applyBorder="1"/>
    <xf numFmtId="0" fontId="0" fillId="3" borderId="4" xfId="0" applyFont="1" applyFill="1" applyBorder="1"/>
    <xf numFmtId="2" fontId="1" fillId="0" borderId="7" xfId="0" applyNumberFormat="1" applyFont="1" applyFill="1" applyBorder="1"/>
    <xf numFmtId="0" fontId="1" fillId="0" borderId="4" xfId="0" applyFont="1" applyFill="1" applyBorder="1"/>
    <xf numFmtId="2" fontId="1" fillId="0" borderId="1" xfId="0" applyNumberFormat="1" applyFont="1" applyFill="1" applyBorder="1" applyAlignment="1">
      <alignment horizontal="center"/>
    </xf>
    <xf numFmtId="0" fontId="5" fillId="0" borderId="0" xfId="0" applyFont="1"/>
    <xf numFmtId="0" fontId="1" fillId="2" borderId="3" xfId="0" applyFont="1" applyFill="1" applyBorder="1" applyAlignment="1"/>
    <xf numFmtId="0" fontId="1" fillId="2" borderId="4" xfId="0" applyFont="1" applyFill="1" applyBorder="1" applyAlignment="1"/>
    <xf numFmtId="2" fontId="1" fillId="2" borderId="1" xfId="0" applyNumberFormat="1" applyFont="1" applyFill="1" applyBorder="1" applyAlignment="1">
      <alignment horizontal="center" vertical="center"/>
    </xf>
    <xf numFmtId="2" fontId="0" fillId="0" borderId="0" xfId="0" applyNumberFormat="1" applyFont="1"/>
    <xf numFmtId="0" fontId="1" fillId="2" borderId="10" xfId="0" applyFont="1" applyFill="1" applyBorder="1"/>
    <xf numFmtId="0" fontId="1" fillId="2" borderId="11" xfId="0" applyFont="1" applyFill="1" applyBorder="1"/>
    <xf numFmtId="2" fontId="1" fillId="2" borderId="10" xfId="0" applyNumberFormat="1" applyFont="1" applyFill="1" applyBorder="1"/>
    <xf numFmtId="0" fontId="1" fillId="2" borderId="12" xfId="0" applyFont="1" applyFill="1" applyBorder="1"/>
    <xf numFmtId="2" fontId="1" fillId="2" borderId="3" xfId="0" applyNumberFormat="1" applyFont="1" applyFill="1" applyBorder="1" applyAlignment="1"/>
    <xf numFmtId="2" fontId="1" fillId="2" borderId="4" xfId="0" applyNumberFormat="1" applyFont="1" applyFill="1" applyBorder="1" applyAlignment="1"/>
    <xf numFmtId="0" fontId="2" fillId="0" borderId="0" xfId="0" applyFont="1" applyAlignment="1"/>
    <xf numFmtId="0" fontId="7" fillId="0" borderId="0" xfId="0" applyFont="1"/>
    <xf numFmtId="2" fontId="1" fillId="2" borderId="1" xfId="0" applyNumberFormat="1" applyFont="1" applyFill="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Font="1" applyAlignment="1">
      <alignment horizontal="center"/>
    </xf>
    <xf numFmtId="2" fontId="0" fillId="0" borderId="1" xfId="0" applyNumberFormat="1" applyFill="1" applyBorder="1" applyAlignment="1">
      <alignment horizontal="center"/>
    </xf>
    <xf numFmtId="0" fontId="1" fillId="0" borderId="0" xfId="0" applyFont="1" applyFill="1" applyBorder="1" applyAlignment="1">
      <alignment horizontal="left" vertical="center"/>
    </xf>
    <xf numFmtId="2" fontId="1" fillId="0" borderId="0" xfId="0" applyNumberFormat="1" applyFont="1" applyFill="1" applyBorder="1"/>
    <xf numFmtId="0" fontId="1" fillId="0" borderId="0" xfId="0" applyFont="1" applyFill="1" applyBorder="1"/>
    <xf numFmtId="0" fontId="0" fillId="0" borderId="0" xfId="0" applyFill="1"/>
    <xf numFmtId="2" fontId="1" fillId="2" borderId="1" xfId="0" applyNumberFormat="1" applyFont="1" applyFill="1" applyBorder="1"/>
    <xf numFmtId="0" fontId="0" fillId="0" borderId="3" xfId="0" applyBorder="1"/>
    <xf numFmtId="0" fontId="0" fillId="0" borderId="4" xfId="0" applyBorder="1"/>
    <xf numFmtId="0" fontId="0" fillId="0" borderId="0" xfId="0" applyFont="1" applyBorder="1"/>
    <xf numFmtId="2" fontId="0" fillId="0" borderId="1" xfId="0" applyNumberFormat="1" applyFont="1" applyFill="1" applyBorder="1"/>
    <xf numFmtId="0" fontId="0" fillId="0" borderId="1" xfId="0" applyFont="1" applyFill="1" applyBorder="1"/>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2" fontId="0" fillId="0" borderId="3" xfId="0" applyNumberFormat="1" applyFont="1" applyFill="1" applyBorder="1"/>
    <xf numFmtId="0" fontId="0" fillId="0" borderId="4" xfId="0" applyFont="1" applyFill="1" applyBorder="1"/>
    <xf numFmtId="0" fontId="0" fillId="0" borderId="2" xfId="0" applyBorder="1" applyAlignment="1">
      <alignment horizontal="center" vertical="center"/>
    </xf>
    <xf numFmtId="0" fontId="0" fillId="0" borderId="6" xfId="0" applyFill="1" applyBorder="1" applyAlignment="1">
      <alignment horizontal="center"/>
    </xf>
    <xf numFmtId="0" fontId="0" fillId="0" borderId="0" xfId="0" applyFont="1" applyFill="1" applyBorder="1" applyAlignment="1"/>
    <xf numFmtId="2" fontId="0" fillId="3" borderId="3" xfId="0" quotePrefix="1" applyNumberFormat="1" applyFont="1" applyFill="1" applyBorder="1"/>
    <xf numFmtId="2" fontId="0" fillId="0" borderId="0" xfId="0" applyNumberFormat="1" applyFont="1" applyBorder="1" applyAlignment="1">
      <alignment horizontal="center"/>
    </xf>
    <xf numFmtId="0" fontId="5" fillId="0" borderId="0" xfId="0" applyFont="1" applyFill="1"/>
    <xf numFmtId="2" fontId="0" fillId="0" borderId="6" xfId="0" applyNumberFormat="1" applyBorder="1" applyAlignment="1">
      <alignment horizontal="center"/>
    </xf>
    <xf numFmtId="0" fontId="0" fillId="0" borderId="13" xfId="0" applyBorder="1" applyAlignment="1">
      <alignment horizontal="center" vertical="center"/>
    </xf>
    <xf numFmtId="0" fontId="9" fillId="0" borderId="0" xfId="0" applyFont="1" applyFill="1"/>
    <xf numFmtId="0" fontId="8" fillId="0" borderId="0" xfId="0" applyFont="1" applyFill="1"/>
    <xf numFmtId="0" fontId="8" fillId="0" borderId="0" xfId="0" applyFont="1"/>
    <xf numFmtId="0" fontId="10" fillId="2" borderId="1" xfId="0" applyFont="1" applyFill="1" applyBorder="1" applyAlignment="1">
      <alignment horizontal="center"/>
    </xf>
    <xf numFmtId="2" fontId="10" fillId="2" borderId="2" xfId="0" applyNumberFormat="1" applyFont="1" applyFill="1" applyBorder="1" applyAlignment="1">
      <alignment horizontal="center" vertical="center"/>
    </xf>
    <xf numFmtId="2" fontId="10" fillId="2" borderId="1" xfId="0" applyNumberFormat="1" applyFont="1" applyFill="1" applyBorder="1" applyAlignment="1">
      <alignment horizontal="center"/>
    </xf>
    <xf numFmtId="2" fontId="8" fillId="0" borderId="0" xfId="0" applyNumberFormat="1" applyFont="1" applyAlignment="1">
      <alignment horizontal="center"/>
    </xf>
    <xf numFmtId="0" fontId="9" fillId="0" borderId="0" xfId="0" applyFont="1"/>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9" xfId="0" applyFont="1" applyFill="1" applyBorder="1" applyAlignment="1">
      <alignment horizontal="left" vertical="center"/>
    </xf>
    <xf numFmtId="10" fontId="12" fillId="0" borderId="35" xfId="2" applyNumberFormat="1" applyFont="1" applyFill="1" applyBorder="1" applyAlignment="1">
      <alignment horizontal="center" vertical="center"/>
    </xf>
    <xf numFmtId="0" fontId="12" fillId="0" borderId="37"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9" xfId="0" applyFont="1" applyFill="1" applyBorder="1" applyAlignment="1">
      <alignment horizontal="center" vertical="center" wrapText="1"/>
    </xf>
    <xf numFmtId="0" fontId="14" fillId="0" borderId="40" xfId="0" applyFont="1" applyBorder="1" applyAlignment="1">
      <alignment horizontal="center" vertical="center" wrapText="1"/>
    </xf>
    <xf numFmtId="49" fontId="15" fillId="0" borderId="41" xfId="0" applyNumberFormat="1" applyFont="1" applyBorder="1" applyAlignment="1">
      <alignment horizontal="center" vertical="center" wrapText="1"/>
    </xf>
    <xf numFmtId="0" fontId="15" fillId="0" borderId="41" xfId="0" applyFont="1" applyBorder="1" applyAlignment="1">
      <alignment horizontal="left" vertical="center" wrapText="1"/>
    </xf>
    <xf numFmtId="2" fontId="16" fillId="0" borderId="41" xfId="1" applyNumberFormat="1" applyFont="1" applyFill="1" applyBorder="1" applyAlignment="1">
      <alignment horizontal="center" vertical="center" wrapText="1"/>
    </xf>
    <xf numFmtId="4" fontId="16" fillId="0" borderId="41" xfId="0" applyNumberFormat="1" applyFont="1" applyBorder="1" applyAlignment="1">
      <alignment horizontal="center" vertical="center" wrapText="1"/>
    </xf>
    <xf numFmtId="4" fontId="15" fillId="0" borderId="42" xfId="0" applyNumberFormat="1" applyFont="1" applyBorder="1" applyAlignment="1">
      <alignment horizontal="center" vertical="center" wrapText="1"/>
    </xf>
    <xf numFmtId="0" fontId="18" fillId="0" borderId="43" xfId="0" applyFont="1" applyBorder="1" applyAlignment="1">
      <alignment horizontal="center" vertical="center" wrapText="1"/>
    </xf>
    <xf numFmtId="49" fontId="16" fillId="0" borderId="44" xfId="0" applyNumberFormat="1" applyFont="1" applyBorder="1" applyAlignment="1">
      <alignment horizontal="center" vertical="center" wrapText="1"/>
    </xf>
    <xf numFmtId="0" fontId="16" fillId="0" borderId="44" xfId="0" applyFont="1" applyBorder="1" applyAlignment="1">
      <alignment horizontal="left" vertical="center" wrapText="1"/>
    </xf>
    <xf numFmtId="2" fontId="16" fillId="0" borderId="44" xfId="1" applyNumberFormat="1" applyFont="1" applyFill="1" applyBorder="1" applyAlignment="1">
      <alignment horizontal="center" vertical="center" wrapText="1"/>
    </xf>
    <xf numFmtId="4" fontId="19" fillId="0" borderId="44" xfId="0" applyNumberFormat="1" applyFont="1" applyBorder="1" applyAlignment="1">
      <alignment horizontal="center" vertical="center" wrapText="1"/>
    </xf>
    <xf numFmtId="4" fontId="16" fillId="0" borderId="45" xfId="0" applyNumberFormat="1" applyFont="1" applyFill="1" applyBorder="1" applyAlignment="1">
      <alignment horizontal="center" vertical="center" wrapText="1"/>
    </xf>
    <xf numFmtId="0" fontId="14" fillId="0" borderId="46" xfId="0" applyFont="1" applyBorder="1" applyAlignment="1">
      <alignment horizontal="center" vertical="center" wrapText="1"/>
    </xf>
    <xf numFmtId="0" fontId="15" fillId="0" borderId="47" xfId="0" applyFont="1" applyBorder="1" applyAlignment="1">
      <alignment horizontal="left" vertical="center" wrapText="1"/>
    </xf>
    <xf numFmtId="0" fontId="20" fillId="0" borderId="47" xfId="0" applyFont="1" applyFill="1" applyBorder="1" applyAlignment="1">
      <alignment vertical="center"/>
    </xf>
    <xf numFmtId="4" fontId="15" fillId="0" borderId="48" xfId="0" applyNumberFormat="1" applyFont="1" applyFill="1" applyBorder="1" applyAlignment="1">
      <alignment horizontal="center" vertical="center" wrapText="1"/>
    </xf>
    <xf numFmtId="0" fontId="19" fillId="0" borderId="44" xfId="0" applyFont="1" applyFill="1" applyBorder="1" applyAlignment="1">
      <alignment vertical="center" wrapText="1"/>
    </xf>
    <xf numFmtId="0" fontId="21" fillId="0" borderId="44" xfId="0" applyFont="1" applyFill="1" applyBorder="1" applyAlignment="1">
      <alignment horizontal="center" vertical="center"/>
    </xf>
    <xf numFmtId="49" fontId="16" fillId="0" borderId="50" xfId="0" applyNumberFormat="1" applyFont="1" applyBorder="1" applyAlignment="1">
      <alignment horizontal="center" vertical="center" wrapText="1"/>
    </xf>
    <xf numFmtId="0" fontId="19" fillId="0" borderId="50" xfId="0" applyFont="1" applyFill="1" applyBorder="1" applyAlignment="1">
      <alignment vertical="center" wrapText="1"/>
    </xf>
    <xf numFmtId="0" fontId="18" fillId="0" borderId="46" xfId="0" applyFont="1" applyBorder="1" applyAlignment="1">
      <alignment horizontal="center" vertical="center" wrapText="1"/>
    </xf>
    <xf numFmtId="49" fontId="16" fillId="0" borderId="47" xfId="0" applyNumberFormat="1" applyFont="1" applyBorder="1" applyAlignment="1">
      <alignment horizontal="center" vertical="center" wrapText="1"/>
    </xf>
    <xf numFmtId="0" fontId="19" fillId="0" borderId="47" xfId="0" applyFont="1" applyFill="1" applyBorder="1" applyAlignment="1">
      <alignment vertical="center" wrapText="1"/>
    </xf>
    <xf numFmtId="0" fontId="21" fillId="0" borderId="47" xfId="0" applyFont="1" applyFill="1" applyBorder="1" applyAlignment="1">
      <alignment horizontal="center" vertical="center"/>
    </xf>
    <xf numFmtId="4" fontId="19" fillId="0" borderId="47" xfId="0" applyNumberFormat="1" applyFont="1" applyBorder="1" applyAlignment="1">
      <alignment horizontal="center" vertical="center" wrapText="1"/>
    </xf>
    <xf numFmtId="4" fontId="16" fillId="0" borderId="48" xfId="0" applyNumberFormat="1" applyFont="1" applyFill="1" applyBorder="1" applyAlignment="1">
      <alignment horizontal="center" vertical="center" wrapText="1"/>
    </xf>
    <xf numFmtId="4" fontId="21" fillId="0" borderId="51" xfId="0" applyNumberFormat="1" applyFont="1" applyBorder="1" applyAlignment="1">
      <alignment horizontal="center" vertical="center" wrapText="1"/>
    </xf>
    <xf numFmtId="4" fontId="21" fillId="0" borderId="44" xfId="0" applyNumberFormat="1" applyFont="1" applyBorder="1" applyAlignment="1">
      <alignment horizontal="center" vertical="center" wrapText="1"/>
    </xf>
    <xf numFmtId="0" fontId="21" fillId="0" borderId="52" xfId="0" applyFont="1" applyFill="1" applyBorder="1" applyAlignment="1">
      <alignment horizontal="center" vertical="center"/>
    </xf>
    <xf numFmtId="0" fontId="19" fillId="0" borderId="44" xfId="0" applyFont="1" applyFill="1" applyBorder="1" applyAlignment="1">
      <alignment horizontal="left" vertical="center" wrapText="1"/>
    </xf>
    <xf numFmtId="0" fontId="19" fillId="0" borderId="53" xfId="0" applyFont="1" applyFill="1" applyBorder="1" applyAlignment="1">
      <alignment vertical="center" wrapText="1"/>
    </xf>
    <xf numFmtId="4" fontId="21" fillId="0" borderId="52" xfId="0" applyNumberFormat="1" applyFont="1" applyBorder="1" applyAlignment="1">
      <alignment horizontal="center" vertical="center" wrapText="1"/>
    </xf>
    <xf numFmtId="49" fontId="16" fillId="0" borderId="51" xfId="0" applyNumberFormat="1" applyFont="1" applyFill="1" applyBorder="1" applyAlignment="1">
      <alignment horizontal="center" vertical="center" wrapText="1"/>
    </xf>
    <xf numFmtId="0" fontId="19" fillId="0" borderId="44" xfId="0" applyFont="1" applyFill="1" applyBorder="1" applyAlignment="1">
      <alignment horizontal="center" vertical="center"/>
    </xf>
    <xf numFmtId="4" fontId="21" fillId="0" borderId="44" xfId="0" applyNumberFormat="1" applyFont="1" applyFill="1" applyBorder="1" applyAlignment="1">
      <alignment horizontal="center" vertical="center" wrapText="1"/>
    </xf>
    <xf numFmtId="0" fontId="14" fillId="0" borderId="40" xfId="0" applyFont="1" applyFill="1" applyBorder="1" applyAlignment="1">
      <alignment horizontal="center" vertical="center" wrapText="1"/>
    </xf>
    <xf numFmtId="49" fontId="15" fillId="0" borderId="41" xfId="0" applyNumberFormat="1" applyFont="1" applyFill="1" applyBorder="1" applyAlignment="1">
      <alignment horizontal="center" vertical="center" wrapText="1"/>
    </xf>
    <xf numFmtId="0" fontId="20" fillId="0" borderId="41" xfId="0" applyFont="1" applyFill="1" applyBorder="1" applyAlignment="1">
      <alignment horizontal="left" vertical="center"/>
    </xf>
    <xf numFmtId="4" fontId="22" fillId="0" borderId="41" xfId="0" applyNumberFormat="1" applyFont="1" applyFill="1" applyBorder="1" applyAlignment="1">
      <alignment horizontal="center" vertical="center" wrapText="1"/>
    </xf>
    <xf numFmtId="4" fontId="17" fillId="0" borderId="41" xfId="0" applyNumberFormat="1" applyFont="1" applyFill="1" applyBorder="1" applyAlignment="1">
      <alignment horizontal="center" vertical="center" wrapText="1"/>
    </xf>
    <xf numFmtId="4" fontId="15" fillId="0" borderId="42" xfId="0" applyNumberFormat="1" applyFont="1" applyFill="1" applyBorder="1" applyAlignment="1">
      <alignment horizontal="center" vertical="center" wrapText="1"/>
    </xf>
    <xf numFmtId="0" fontId="23" fillId="0" borderId="40" xfId="0" applyFont="1" applyFill="1" applyBorder="1" applyAlignment="1">
      <alignment horizontal="center" vertical="center" wrapText="1"/>
    </xf>
    <xf numFmtId="49" fontId="24" fillId="0" borderId="41" xfId="0" applyNumberFormat="1" applyFont="1" applyFill="1" applyBorder="1" applyAlignment="1">
      <alignment horizontal="center" vertical="center" wrapText="1"/>
    </xf>
    <xf numFmtId="0" fontId="24" fillId="0" borderId="41" xfId="0" applyFont="1" applyFill="1" applyBorder="1" applyAlignment="1">
      <alignment vertical="center"/>
    </xf>
    <xf numFmtId="2" fontId="17" fillId="0" borderId="41" xfId="1" applyNumberFormat="1" applyFont="1" applyFill="1" applyBorder="1" applyAlignment="1">
      <alignment horizontal="center" vertical="center" wrapText="1"/>
    </xf>
    <xf numFmtId="4" fontId="24" fillId="0" borderId="42" xfId="0" applyNumberFormat="1" applyFont="1" applyFill="1" applyBorder="1" applyAlignment="1">
      <alignment horizontal="center" vertical="center" wrapText="1"/>
    </xf>
    <xf numFmtId="0" fontId="25" fillId="0" borderId="49" xfId="0" applyFont="1" applyBorder="1" applyAlignment="1">
      <alignment horizontal="center" vertical="center" wrapText="1"/>
    </xf>
    <xf numFmtId="49" fontId="21" fillId="0" borderId="44" xfId="0" applyNumberFormat="1" applyFont="1" applyBorder="1" applyAlignment="1">
      <alignment horizontal="center" vertical="center" wrapText="1"/>
    </xf>
    <xf numFmtId="49" fontId="21" fillId="0" borderId="51" xfId="0" applyNumberFormat="1" applyFont="1" applyFill="1" applyBorder="1" applyAlignment="1">
      <alignment horizontal="center" vertical="center" wrapText="1"/>
    </xf>
    <xf numFmtId="0" fontId="21" fillId="0" borderId="55" xfId="0" applyFont="1" applyFill="1" applyBorder="1" applyAlignment="1">
      <alignment horizontal="center" vertical="center"/>
    </xf>
    <xf numFmtId="4" fontId="21" fillId="0" borderId="56" xfId="0" applyNumberFormat="1" applyFont="1" applyBorder="1" applyAlignment="1">
      <alignment horizontal="center" vertical="center" wrapText="1"/>
    </xf>
    <xf numFmtId="0" fontId="21" fillId="0" borderId="53" xfId="0" applyFont="1" applyBorder="1" applyAlignment="1">
      <alignment vertical="center" wrapText="1"/>
    </xf>
    <xf numFmtId="0" fontId="21" fillId="0" borderId="54" xfId="0" applyFont="1" applyBorder="1" applyAlignment="1">
      <alignment vertical="center" wrapText="1"/>
    </xf>
    <xf numFmtId="0" fontId="21" fillId="0" borderId="44" xfId="0" applyFont="1" applyBorder="1" applyAlignment="1">
      <alignment horizontal="center" vertical="center"/>
    </xf>
    <xf numFmtId="0" fontId="24" fillId="0" borderId="41" xfId="0" applyFont="1" applyFill="1" applyBorder="1" applyAlignment="1">
      <alignment horizontal="left" vertical="center"/>
    </xf>
    <xf numFmtId="0" fontId="21" fillId="0" borderId="44" xfId="0" applyFont="1" applyFill="1" applyBorder="1" applyAlignment="1">
      <alignment horizontal="left" vertical="center" wrapText="1"/>
    </xf>
    <xf numFmtId="0" fontId="21" fillId="0" borderId="56" xfId="0" applyFont="1" applyFill="1" applyBorder="1" applyAlignment="1">
      <alignment horizontal="center" vertical="center"/>
    </xf>
    <xf numFmtId="0" fontId="21" fillId="0" borderId="55" xfId="0" applyFont="1" applyFill="1" applyBorder="1" applyAlignment="1">
      <alignment vertical="center" wrapText="1"/>
    </xf>
    <xf numFmtId="4" fontId="23" fillId="0" borderId="19" xfId="0" applyNumberFormat="1" applyFont="1" applyBorder="1" applyAlignment="1">
      <alignment horizontal="center" vertical="center" wrapText="1"/>
    </xf>
    <xf numFmtId="0" fontId="15" fillId="4" borderId="0" xfId="0" applyFont="1" applyFill="1" applyBorder="1" applyAlignment="1">
      <alignment horizontal="right" vertical="center" wrapText="1"/>
    </xf>
    <xf numFmtId="4" fontId="15" fillId="0" borderId="0" xfId="0" applyNumberFormat="1" applyFont="1" applyBorder="1" applyAlignment="1">
      <alignment horizontal="center" vertical="center" wrapText="1"/>
    </xf>
    <xf numFmtId="0" fontId="26" fillId="0" borderId="0" xfId="0" applyFont="1" applyBorder="1" applyAlignment="1">
      <alignment vertical="center"/>
    </xf>
    <xf numFmtId="0" fontId="16" fillId="0" borderId="0" xfId="0" applyFont="1" applyBorder="1" applyAlignment="1">
      <alignment vertical="center"/>
    </xf>
    <xf numFmtId="0" fontId="26" fillId="0" borderId="0" xfId="0" applyFont="1" applyBorder="1"/>
    <xf numFmtId="2" fontId="28" fillId="0" borderId="0" xfId="0" applyNumberFormat="1" applyFont="1" applyFill="1" applyBorder="1"/>
    <xf numFmtId="0" fontId="29" fillId="0" borderId="0" xfId="0" applyFont="1" applyBorder="1" applyAlignment="1">
      <alignment horizontal="center" vertical="center"/>
    </xf>
    <xf numFmtId="2" fontId="0" fillId="0" borderId="0" xfId="0" applyNumberFormat="1" applyFill="1" applyBorder="1"/>
    <xf numFmtId="2" fontId="0" fillId="0" borderId="0" xfId="0" applyNumberFormat="1" applyFill="1"/>
    <xf numFmtId="2" fontId="29" fillId="0" borderId="0" xfId="0" applyNumberFormat="1" applyFont="1" applyFill="1" applyBorder="1"/>
    <xf numFmtId="2" fontId="29" fillId="0" borderId="0" xfId="0" applyNumberFormat="1"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alignment vertical="center"/>
    </xf>
    <xf numFmtId="0" fontId="30" fillId="0" borderId="0" xfId="0" applyFont="1" applyFill="1" applyBorder="1" applyAlignment="1">
      <alignment horizontal="center" vertical="center"/>
    </xf>
    <xf numFmtId="0" fontId="29" fillId="0" borderId="0" xfId="0" applyFont="1" applyBorder="1" applyAlignment="1">
      <alignment vertical="center"/>
    </xf>
    <xf numFmtId="0" fontId="29" fillId="0" borderId="0" xfId="0" applyFont="1" applyBorder="1" applyAlignment="1"/>
    <xf numFmtId="2" fontId="29" fillId="0" borderId="0" xfId="0" applyNumberFormat="1" applyFont="1" applyBorder="1" applyAlignment="1">
      <alignment vertical="center"/>
    </xf>
    <xf numFmtId="0" fontId="29" fillId="0" borderId="0" xfId="0" applyFont="1" applyBorder="1" applyAlignment="1">
      <alignment horizontal="right" vertical="center"/>
    </xf>
    <xf numFmtId="0" fontId="13"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Border="1"/>
    <xf numFmtId="2" fontId="29" fillId="0" borderId="0" xfId="0" applyNumberFormat="1" applyFont="1" applyBorder="1" applyAlignment="1">
      <alignment horizontal="center" vertical="center"/>
    </xf>
    <xf numFmtId="0" fontId="29" fillId="0" borderId="0" xfId="0" applyFont="1" applyBorder="1" applyAlignment="1">
      <alignment horizontal="left"/>
    </xf>
    <xf numFmtId="0" fontId="28" fillId="0" borderId="0" xfId="0" applyFont="1" applyFill="1" applyBorder="1"/>
    <xf numFmtId="2" fontId="28" fillId="0" borderId="0" xfId="0" applyNumberFormat="1" applyFont="1" applyFill="1" applyBorder="1" applyAlignment="1">
      <alignment horizontal="right" vertical="center"/>
    </xf>
    <xf numFmtId="0" fontId="13"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27" fillId="0" borderId="0" xfId="0" applyFont="1" applyFill="1" applyBorder="1" applyAlignment="1">
      <alignment horizontal="left" vertical="center"/>
    </xf>
    <xf numFmtId="2" fontId="29" fillId="0" borderId="0" xfId="0" applyNumberFormat="1" applyFont="1" applyFill="1" applyBorder="1" applyAlignment="1">
      <alignment horizontal="center" vertical="center"/>
    </xf>
    <xf numFmtId="0" fontId="29" fillId="0" borderId="0" xfId="0" applyFont="1" applyFill="1" applyBorder="1" applyAlignment="1">
      <alignment vertical="center" wrapText="1"/>
    </xf>
    <xf numFmtId="0" fontId="13" fillId="0" borderId="0" xfId="0" applyFont="1" applyBorder="1" applyAlignment="1"/>
    <xf numFmtId="0" fontId="33" fillId="0" borderId="0" xfId="0" applyFont="1" applyFill="1" applyBorder="1" applyAlignment="1">
      <alignment horizontal="center" vertical="center"/>
    </xf>
    <xf numFmtId="0" fontId="0" fillId="0" borderId="0" xfId="0" applyBorder="1" applyAlignment="1">
      <alignment horizontal="center" wrapText="1"/>
    </xf>
    <xf numFmtId="2" fontId="29" fillId="0" borderId="0" xfId="0" applyNumberFormat="1" applyFont="1" applyBorder="1" applyAlignment="1">
      <alignment horizontal="center" vertical="center" wrapText="1"/>
    </xf>
    <xf numFmtId="2" fontId="30" fillId="0" borderId="0" xfId="0" applyNumberFormat="1" applyFont="1" applyBorder="1" applyAlignment="1">
      <alignment horizontal="center" vertical="center" wrapText="1"/>
    </xf>
    <xf numFmtId="0" fontId="29" fillId="0" borderId="0" xfId="0" applyFont="1" applyBorder="1" applyAlignment="1">
      <alignment horizontal="center" wrapText="1"/>
    </xf>
    <xf numFmtId="0" fontId="29" fillId="0" borderId="0" xfId="0" applyFont="1" applyBorder="1" applyAlignment="1">
      <alignment horizontal="left" vertical="center"/>
    </xf>
    <xf numFmtId="2" fontId="34" fillId="0" borderId="0" xfId="0" applyNumberFormat="1" applyFont="1" applyFill="1" applyBorder="1" applyAlignment="1">
      <alignment horizontal="center" vertical="center"/>
    </xf>
    <xf numFmtId="10" fontId="29" fillId="0" borderId="0" xfId="0" applyNumberFormat="1" applyFont="1" applyBorder="1" applyAlignment="1">
      <alignment horizontal="right" vertical="center" wrapText="1"/>
    </xf>
    <xf numFmtId="0" fontId="29" fillId="0" borderId="0" xfId="0" applyFont="1" applyBorder="1" applyAlignment="1">
      <alignment horizontal="right" wrapText="1"/>
    </xf>
    <xf numFmtId="10" fontId="29" fillId="0" borderId="0" xfId="0" applyNumberFormat="1" applyFont="1" applyBorder="1" applyAlignment="1">
      <alignment horizontal="center" wrapText="1"/>
    </xf>
    <xf numFmtId="0" fontId="29" fillId="0" borderId="0" xfId="0" applyFont="1" applyFill="1" applyBorder="1" applyAlignment="1">
      <alignment horizontal="left" vertical="center"/>
    </xf>
    <xf numFmtId="2" fontId="30" fillId="0" borderId="0" xfId="0" applyNumberFormat="1" applyFont="1" applyBorder="1" applyAlignment="1">
      <alignment horizontal="right" vertical="center" wrapText="1"/>
    </xf>
    <xf numFmtId="0" fontId="34" fillId="0" borderId="0" xfId="0" applyFont="1" applyFill="1" applyBorder="1" applyAlignment="1">
      <alignment horizontal="center" vertical="center"/>
    </xf>
    <xf numFmtId="2" fontId="13" fillId="0" borderId="0" xfId="0" applyNumberFormat="1" applyFont="1" applyBorder="1" applyAlignment="1">
      <alignment horizontal="center" vertical="center" wrapText="1"/>
    </xf>
    <xf numFmtId="0" fontId="0" fillId="0" borderId="0" xfId="0" applyBorder="1" applyAlignment="1"/>
    <xf numFmtId="2" fontId="0" fillId="0" borderId="0" xfId="0" applyNumberFormat="1" applyBorder="1" applyAlignment="1"/>
    <xf numFmtId="0" fontId="30" fillId="0" borderId="0" xfId="0" applyFont="1" applyBorder="1" applyAlignment="1">
      <alignment horizontal="center" vertical="center"/>
    </xf>
    <xf numFmtId="0" fontId="30" fillId="0" borderId="0" xfId="0" applyFont="1" applyBorder="1"/>
    <xf numFmtId="2" fontId="31" fillId="0" borderId="0" xfId="0" applyNumberFormat="1" applyFont="1" applyBorder="1" applyAlignment="1">
      <alignment horizontal="right" vertical="center" wrapText="1"/>
    </xf>
    <xf numFmtId="0" fontId="31" fillId="0" borderId="0" xfId="0" applyFont="1" applyBorder="1"/>
    <xf numFmtId="0" fontId="29" fillId="0" borderId="0" xfId="0" applyFont="1" applyBorder="1" applyAlignment="1">
      <alignment horizontal="center" vertical="center" wrapText="1"/>
    </xf>
    <xf numFmtId="2" fontId="29" fillId="0" borderId="0" xfId="0" applyNumberFormat="1" applyFont="1" applyBorder="1" applyAlignment="1">
      <alignment horizontal="center" wrapText="1"/>
    </xf>
    <xf numFmtId="2" fontId="29" fillId="0" borderId="0" xfId="0" applyNumberFormat="1" applyFont="1" applyBorder="1" applyAlignment="1">
      <alignment horizontal="right" wrapText="1"/>
    </xf>
    <xf numFmtId="1" fontId="29" fillId="0" borderId="0" xfId="0" applyNumberFormat="1" applyFont="1" applyFill="1" applyBorder="1" applyAlignment="1">
      <alignment horizontal="center" vertical="center"/>
    </xf>
    <xf numFmtId="0" fontId="30" fillId="0" borderId="0" xfId="0" applyFont="1" applyBorder="1" applyAlignment="1">
      <alignment horizontal="center" wrapText="1"/>
    </xf>
    <xf numFmtId="2" fontId="29" fillId="0" borderId="0" xfId="0" applyNumberFormat="1" applyFont="1" applyBorder="1" applyAlignment="1">
      <alignment horizontal="right" vertical="center"/>
    </xf>
    <xf numFmtId="2" fontId="28" fillId="0" borderId="0" xfId="0" applyNumberFormat="1" applyFont="1" applyBorder="1" applyAlignment="1">
      <alignment horizontal="right" vertical="center" wrapText="1"/>
    </xf>
    <xf numFmtId="2" fontId="28" fillId="0" borderId="0" xfId="0" applyNumberFormat="1" applyFont="1" applyBorder="1" applyAlignment="1">
      <alignment horizontal="left" vertical="center" wrapText="1"/>
    </xf>
    <xf numFmtId="0" fontId="30" fillId="0" borderId="0" xfId="0" applyFont="1" applyBorder="1" applyAlignment="1">
      <alignment horizontal="right" vertical="center"/>
    </xf>
    <xf numFmtId="0" fontId="13" fillId="0" borderId="0" xfId="0" applyFont="1" applyBorder="1" applyAlignment="1">
      <alignment horizontal="center" vertical="center"/>
    </xf>
    <xf numFmtId="0" fontId="0" fillId="0" borderId="0" xfId="0" applyBorder="1" applyAlignment="1">
      <alignment horizontal="right" wrapText="1"/>
    </xf>
    <xf numFmtId="2" fontId="13" fillId="0" borderId="0" xfId="0" applyNumberFormat="1" applyFont="1" applyBorder="1" applyAlignment="1">
      <alignment vertical="center" wrapText="1"/>
    </xf>
    <xf numFmtId="2" fontId="32" fillId="0" borderId="0" xfId="0" applyNumberFormat="1" applyFont="1" applyBorder="1" applyAlignment="1">
      <alignment vertical="center"/>
    </xf>
    <xf numFmtId="2" fontId="13" fillId="0" borderId="0" xfId="0" applyNumberFormat="1" applyFont="1" applyBorder="1" applyAlignment="1">
      <alignment vertical="center"/>
    </xf>
    <xf numFmtId="0" fontId="13" fillId="0" borderId="0" xfId="0" applyFont="1" applyBorder="1" applyAlignment="1">
      <alignment horizontal="center"/>
    </xf>
    <xf numFmtId="2" fontId="0" fillId="0" borderId="0" xfId="0" applyNumberFormat="1" applyBorder="1" applyAlignment="1">
      <alignment vertical="center" wrapText="1"/>
    </xf>
    <xf numFmtId="1" fontId="29" fillId="0" borderId="0" xfId="0" applyNumberFormat="1" applyFont="1" applyBorder="1" applyAlignment="1">
      <alignment horizontal="center" vertical="center"/>
    </xf>
    <xf numFmtId="0" fontId="0" fillId="0" borderId="0" xfId="0" applyBorder="1" applyAlignment="1">
      <alignment horizontal="center"/>
    </xf>
    <xf numFmtId="0" fontId="0" fillId="0" borderId="0" xfId="0" applyBorder="1" applyAlignment="1">
      <alignment vertical="center"/>
    </xf>
    <xf numFmtId="0" fontId="27" fillId="0" borderId="0" xfId="0" applyFont="1" applyFill="1" applyBorder="1" applyAlignment="1"/>
    <xf numFmtId="2" fontId="28" fillId="0" borderId="0" xfId="0" applyNumberFormat="1" applyFont="1" applyFill="1" applyBorder="1" applyAlignment="1">
      <alignment vertical="center"/>
    </xf>
    <xf numFmtId="0" fontId="13" fillId="0" borderId="0" xfId="0" applyFont="1" applyFill="1" applyBorder="1" applyAlignment="1">
      <alignment vertical="center"/>
    </xf>
    <xf numFmtId="0" fontId="0" fillId="0" borderId="0" xfId="0" applyFill="1" applyBorder="1" applyAlignment="1"/>
    <xf numFmtId="0" fontId="13" fillId="0" borderId="0" xfId="0" applyFont="1" applyBorder="1" applyAlignment="1">
      <alignment vertical="center"/>
    </xf>
    <xf numFmtId="0" fontId="13" fillId="0" borderId="0" xfId="0" applyFont="1" applyFill="1" applyBorder="1" applyAlignment="1"/>
    <xf numFmtId="2" fontId="29" fillId="0" borderId="0" xfId="0" applyNumberFormat="1" applyFont="1" applyFill="1" applyBorder="1" applyAlignment="1">
      <alignment horizontal="right" vertical="center"/>
    </xf>
    <xf numFmtId="2" fontId="28" fillId="0" borderId="0" xfId="0" applyNumberFormat="1" applyFont="1" applyBorder="1" applyAlignment="1">
      <alignment horizontal="left" vertical="center"/>
    </xf>
    <xf numFmtId="0" fontId="28" fillId="0" borderId="0" xfId="0" applyFont="1" applyBorder="1"/>
    <xf numFmtId="1" fontId="28" fillId="0" borderId="0" xfId="0" applyNumberFormat="1" applyFont="1" applyBorder="1" applyAlignment="1">
      <alignment horizontal="right" vertical="center"/>
    </xf>
    <xf numFmtId="2" fontId="29" fillId="0" borderId="0" xfId="0" applyNumberFormat="1" applyFont="1" applyFill="1" applyBorder="1" applyAlignment="1">
      <alignment vertical="center" wrapText="1"/>
    </xf>
    <xf numFmtId="0" fontId="29" fillId="0" borderId="0" xfId="0" applyFont="1" applyFill="1" applyBorder="1" applyAlignment="1">
      <alignment horizontal="center"/>
    </xf>
    <xf numFmtId="2" fontId="29" fillId="0" borderId="0" xfId="0" applyNumberFormat="1" applyFont="1" applyFill="1" applyBorder="1" applyAlignment="1">
      <alignment horizontal="left" vertical="center"/>
    </xf>
    <xf numFmtId="0" fontId="13" fillId="0" borderId="0" xfId="0" applyFont="1" applyBorder="1" applyAlignment="1">
      <alignment horizontal="right"/>
    </xf>
    <xf numFmtId="2" fontId="0" fillId="0" borderId="0" xfId="0" applyNumberFormat="1" applyFill="1" applyBorder="1" applyAlignment="1">
      <alignment horizontal="center" vertical="center"/>
    </xf>
    <xf numFmtId="2" fontId="0" fillId="0" borderId="0" xfId="0" applyNumberFormat="1" applyFill="1" applyBorder="1" applyAlignment="1"/>
    <xf numFmtId="0" fontId="13" fillId="0" borderId="0" xfId="0" applyFont="1" applyBorder="1" applyAlignment="1">
      <alignment horizontal="left"/>
    </xf>
    <xf numFmtId="0" fontId="13" fillId="0" borderId="0" xfId="0" applyFont="1" applyFill="1" applyBorder="1" applyAlignment="1">
      <alignment horizontal="center"/>
    </xf>
    <xf numFmtId="10" fontId="0" fillId="0" borderId="0" xfId="0" applyNumberFormat="1" applyBorder="1" applyAlignment="1"/>
    <xf numFmtId="2" fontId="27" fillId="0" borderId="0" xfId="0" applyNumberFormat="1" applyFont="1" applyFill="1" applyBorder="1" applyAlignment="1"/>
    <xf numFmtId="0" fontId="27" fillId="0" borderId="0" xfId="0" applyFont="1" applyBorder="1" applyAlignment="1"/>
    <xf numFmtId="2" fontId="29" fillId="0" borderId="0" xfId="0" applyNumberFormat="1" applyFont="1" applyFill="1" applyBorder="1" applyAlignment="1">
      <alignment horizontal="center" vertical="center" wrapText="1"/>
    </xf>
    <xf numFmtId="0" fontId="0" fillId="0" borderId="0" xfId="0" applyFill="1" applyBorder="1" applyAlignment="1">
      <alignment horizontal="center"/>
    </xf>
    <xf numFmtId="4" fontId="0" fillId="0" borderId="0" xfId="0" applyNumberFormat="1" applyFill="1" applyBorder="1" applyAlignment="1"/>
    <xf numFmtId="2" fontId="13" fillId="0" borderId="0" xfId="0" applyNumberFormat="1" applyFont="1" applyFill="1" applyBorder="1" applyAlignment="1"/>
    <xf numFmtId="0" fontId="0" fillId="0" borderId="0" xfId="0" applyFill="1" applyBorder="1" applyAlignment="1">
      <alignment vertical="center"/>
    </xf>
    <xf numFmtId="0" fontId="0" fillId="0" borderId="0" xfId="0" applyFill="1" applyBorder="1"/>
    <xf numFmtId="4" fontId="0" fillId="0" borderId="0" xfId="0" applyNumberFormat="1" applyFill="1" applyBorder="1"/>
    <xf numFmtId="2" fontId="13" fillId="0" borderId="0" xfId="0" applyNumberFormat="1" applyFont="1" applyFill="1" applyBorder="1"/>
    <xf numFmtId="0" fontId="13" fillId="0" borderId="0" xfId="0" applyFont="1" applyFill="1" applyBorder="1" applyAlignment="1">
      <alignment horizontal="right"/>
    </xf>
    <xf numFmtId="0" fontId="13" fillId="0" borderId="0" xfId="0" applyFont="1" applyFill="1" applyBorder="1"/>
    <xf numFmtId="2" fontId="29" fillId="0" borderId="0" xfId="0" applyNumberFormat="1" applyFont="1" applyFill="1" applyBorder="1" applyAlignment="1">
      <alignment horizontal="center"/>
    </xf>
    <xf numFmtId="0" fontId="29" fillId="0" borderId="0" xfId="0" applyFont="1" applyFill="1" applyBorder="1" applyAlignment="1">
      <alignment horizontal="left" wrapText="1"/>
    </xf>
    <xf numFmtId="0" fontId="29" fillId="0" borderId="0" xfId="0" applyFont="1" applyFill="1" applyBorder="1"/>
    <xf numFmtId="2" fontId="28" fillId="0" borderId="0" xfId="0" applyNumberFormat="1" applyFont="1" applyFill="1" applyBorder="1" applyAlignment="1">
      <alignment horizontal="left" vertical="center"/>
    </xf>
    <xf numFmtId="0" fontId="28" fillId="0" borderId="0" xfId="0" applyFont="1" applyBorder="1" applyAlignment="1">
      <alignment horizontal="right" vertical="center"/>
    </xf>
    <xf numFmtId="0" fontId="29" fillId="0" borderId="0" xfId="0" applyFont="1" applyFill="1" applyBorder="1" applyAlignment="1">
      <alignment horizontal="right" wrapText="1"/>
    </xf>
    <xf numFmtId="10" fontId="29" fillId="0" borderId="0" xfId="0" applyNumberFormat="1" applyFont="1" applyFill="1" applyBorder="1"/>
    <xf numFmtId="0" fontId="0" fillId="0" borderId="0" xfId="0" applyFill="1" applyBorder="1" applyAlignment="1">
      <alignment wrapText="1"/>
    </xf>
    <xf numFmtId="0" fontId="13" fillId="0" borderId="0" xfId="0" applyFont="1" applyFill="1" applyBorder="1" applyAlignment="1">
      <alignment horizontal="center" vertical="center" wrapText="1"/>
    </xf>
    <xf numFmtId="0" fontId="28" fillId="0" borderId="0" xfId="0" applyFont="1" applyFill="1" applyBorder="1" applyAlignment="1">
      <alignment horizontal="right" vertical="center"/>
    </xf>
    <xf numFmtId="0" fontId="13" fillId="0" borderId="0" xfId="0" applyFont="1" applyFill="1" applyBorder="1" applyAlignment="1">
      <alignment horizontal="right" vertical="center"/>
    </xf>
    <xf numFmtId="0" fontId="27" fillId="0" borderId="0" xfId="0" applyFont="1" applyFill="1" applyBorder="1" applyAlignment="1">
      <alignment vertical="center"/>
    </xf>
    <xf numFmtId="164" fontId="12" fillId="0" borderId="18" xfId="0" applyNumberFormat="1" applyFont="1" applyFill="1" applyBorder="1" applyAlignment="1">
      <alignment horizontal="center" vertical="center"/>
    </xf>
    <xf numFmtId="164" fontId="12" fillId="0" borderId="7" xfId="0" applyNumberFormat="1" applyFont="1" applyFill="1" applyBorder="1" applyAlignment="1">
      <alignment horizontal="center" vertical="center"/>
    </xf>
    <xf numFmtId="164" fontId="12" fillId="0" borderId="34" xfId="0" applyNumberFormat="1" applyFont="1" applyFill="1" applyBorder="1" applyAlignment="1">
      <alignment horizontal="center" vertical="center"/>
    </xf>
    <xf numFmtId="164" fontId="12" fillId="0" borderId="38" xfId="0" applyNumberFormat="1" applyFont="1" applyFill="1" applyBorder="1" applyAlignment="1">
      <alignment horizontal="center" vertical="center" wrapText="1"/>
    </xf>
    <xf numFmtId="164" fontId="17" fillId="0" borderId="41" xfId="0" applyNumberFormat="1" applyFont="1" applyBorder="1" applyAlignment="1">
      <alignment horizontal="center" vertical="center" wrapText="1"/>
    </xf>
    <xf numFmtId="164" fontId="19" fillId="0" borderId="44" xfId="0" applyNumberFormat="1" applyFont="1" applyBorder="1" applyAlignment="1">
      <alignment horizontal="center" vertical="center" wrapText="1"/>
    </xf>
    <xf numFmtId="164" fontId="15" fillId="0" borderId="47" xfId="0" applyNumberFormat="1" applyFont="1" applyBorder="1" applyAlignment="1">
      <alignment horizontal="left" vertical="center" wrapText="1"/>
    </xf>
    <xf numFmtId="164" fontId="21" fillId="0" borderId="44" xfId="0" applyNumberFormat="1" applyFont="1" applyBorder="1" applyAlignment="1">
      <alignment horizontal="center" vertical="center" wrapText="1"/>
    </xf>
    <xf numFmtId="164" fontId="19" fillId="0" borderId="47" xfId="0" applyNumberFormat="1" applyFont="1" applyBorder="1" applyAlignment="1">
      <alignment horizontal="center" vertical="center" wrapText="1"/>
    </xf>
    <xf numFmtId="164" fontId="17" fillId="0" borderId="41" xfId="0" applyNumberFormat="1" applyFont="1" applyFill="1" applyBorder="1" applyAlignment="1">
      <alignment horizontal="center" vertical="center" wrapText="1"/>
    </xf>
    <xf numFmtId="164" fontId="15" fillId="4" borderId="0" xfId="0" applyNumberFormat="1" applyFont="1" applyFill="1" applyBorder="1" applyAlignment="1">
      <alignment horizontal="right" vertical="center" wrapText="1"/>
    </xf>
    <xf numFmtId="164" fontId="26" fillId="0" borderId="0" xfId="0" applyNumberFormat="1" applyFont="1" applyBorder="1" applyAlignment="1">
      <alignment horizontal="center" vertical="center"/>
    </xf>
    <xf numFmtId="164" fontId="26" fillId="0" borderId="0" xfId="0" applyNumberFormat="1" applyFont="1" applyBorder="1"/>
    <xf numFmtId="164" fontId="0" fillId="0" borderId="0" xfId="0" applyNumberFormat="1"/>
    <xf numFmtId="0" fontId="18" fillId="0" borderId="49" xfId="0" applyFont="1" applyFill="1" applyBorder="1" applyAlignment="1">
      <alignment horizontal="center" vertical="center" wrapText="1"/>
    </xf>
    <xf numFmtId="49" fontId="16" fillId="0" borderId="52" xfId="0" applyNumberFormat="1" applyFont="1" applyFill="1" applyBorder="1" applyAlignment="1">
      <alignment horizontal="center" vertical="center" wrapText="1"/>
    </xf>
    <xf numFmtId="164" fontId="21" fillId="0" borderId="50" xfId="0" applyNumberFormat="1" applyFont="1" applyFill="1" applyBorder="1" applyAlignment="1">
      <alignment horizontal="center" vertical="center" wrapText="1"/>
    </xf>
    <xf numFmtId="0" fontId="14" fillId="0" borderId="46" xfId="0" applyFont="1" applyFill="1" applyBorder="1" applyAlignment="1">
      <alignment horizontal="center" vertical="center" wrapText="1"/>
    </xf>
    <xf numFmtId="49" fontId="15" fillId="0" borderId="31" xfId="0" applyNumberFormat="1" applyFont="1" applyFill="1" applyBorder="1" applyAlignment="1">
      <alignment horizontal="center" vertical="center" wrapText="1"/>
    </xf>
    <xf numFmtId="0" fontId="20" fillId="0" borderId="47" xfId="0" applyFont="1" applyFill="1" applyBorder="1" applyAlignment="1">
      <alignment horizontal="left" vertical="center"/>
    </xf>
    <xf numFmtId="2" fontId="16" fillId="0" borderId="47" xfId="1" applyNumberFormat="1" applyFont="1" applyFill="1" applyBorder="1" applyAlignment="1">
      <alignment horizontal="center" vertical="center" wrapText="1"/>
    </xf>
    <xf numFmtId="4" fontId="22" fillId="0" borderId="59" xfId="0" applyNumberFormat="1" applyFont="1" applyFill="1" applyBorder="1" applyAlignment="1">
      <alignment horizontal="center" vertical="center" wrapText="1"/>
    </xf>
    <xf numFmtId="164" fontId="17" fillId="0" borderId="47" xfId="0" applyNumberFormat="1" applyFont="1" applyFill="1" applyBorder="1" applyAlignment="1">
      <alignment horizontal="center" vertical="center" wrapText="1"/>
    </xf>
    <xf numFmtId="0" fontId="20" fillId="0" borderId="41" xfId="0" applyFont="1" applyFill="1" applyBorder="1" applyAlignment="1">
      <alignment vertical="center"/>
    </xf>
    <xf numFmtId="164" fontId="12" fillId="0" borderId="5" xfId="0" applyNumberFormat="1" applyFont="1" applyFill="1" applyBorder="1" applyAlignment="1">
      <alignment horizontal="left" vertical="center"/>
    </xf>
    <xf numFmtId="4" fontId="21" fillId="0" borderId="50" xfId="0" applyNumberFormat="1" applyFont="1" applyFill="1" applyBorder="1" applyAlignment="1">
      <alignment horizontal="center" vertical="center" wrapText="1"/>
    </xf>
    <xf numFmtId="0" fontId="29" fillId="0" borderId="0" xfId="0" applyFont="1" applyBorder="1" applyAlignment="1">
      <alignment horizontal="left" wrapText="1"/>
    </xf>
    <xf numFmtId="0" fontId="13" fillId="0" borderId="0" xfId="0" applyFont="1" applyBorder="1" applyAlignment="1">
      <alignment horizontal="center" wrapText="1"/>
    </xf>
    <xf numFmtId="0" fontId="28" fillId="0" borderId="0" xfId="0" applyFont="1" applyBorder="1" applyAlignment="1">
      <alignment vertical="center"/>
    </xf>
    <xf numFmtId="2" fontId="29" fillId="0" borderId="0" xfId="0" applyNumberFormat="1" applyFont="1" applyBorder="1" applyAlignment="1">
      <alignment horizontal="left" vertical="center" wrapText="1"/>
    </xf>
    <xf numFmtId="0" fontId="0" fillId="0" borderId="0" xfId="0" applyBorder="1" applyAlignment="1">
      <alignment wrapText="1"/>
    </xf>
    <xf numFmtId="1" fontId="29" fillId="0" borderId="0" xfId="0" applyNumberFormat="1" applyFont="1" applyBorder="1" applyAlignment="1">
      <alignment horizontal="center" wrapText="1"/>
    </xf>
    <xf numFmtId="2" fontId="28" fillId="0" borderId="0" xfId="0" applyNumberFormat="1" applyFont="1" applyBorder="1" applyAlignment="1">
      <alignment horizontal="right" wrapText="1"/>
    </xf>
    <xf numFmtId="0" fontId="28" fillId="0" borderId="0" xfId="0" applyFont="1" applyBorder="1" applyAlignment="1">
      <alignment horizontal="left" wrapText="1"/>
    </xf>
    <xf numFmtId="0" fontId="0" fillId="0" borderId="0" xfId="0" applyBorder="1" applyAlignment="1">
      <alignment horizontal="center" vertical="center"/>
    </xf>
    <xf numFmtId="0" fontId="28" fillId="0" borderId="0" xfId="0" applyFont="1" applyFill="1" applyBorder="1" applyAlignment="1">
      <alignment horizontal="left" vertical="center"/>
    </xf>
    <xf numFmtId="2" fontId="28" fillId="0" borderId="0" xfId="0" applyNumberFormat="1" applyFont="1" applyBorder="1" applyAlignment="1">
      <alignment horizontal="right" vertical="center"/>
    </xf>
    <xf numFmtId="2" fontId="28" fillId="0" borderId="0" xfId="0" applyNumberFormat="1" applyFont="1" applyBorder="1" applyAlignment="1">
      <alignment vertical="center"/>
    </xf>
    <xf numFmtId="1" fontId="29" fillId="0" borderId="0" xfId="0" applyNumberFormat="1" applyFont="1" applyFill="1" applyBorder="1" applyAlignment="1">
      <alignment horizontal="center"/>
    </xf>
    <xf numFmtId="0" fontId="28" fillId="0" borderId="0" xfId="0" applyFont="1" applyBorder="1" applyAlignment="1">
      <alignment horizontal="center"/>
    </xf>
    <xf numFmtId="1" fontId="29" fillId="0" borderId="0" xfId="0" applyNumberFormat="1" applyFont="1" applyBorder="1" applyAlignment="1">
      <alignment horizontal="right" vertical="center"/>
    </xf>
    <xf numFmtId="0" fontId="13" fillId="0" borderId="0" xfId="0" applyFont="1" applyBorder="1" applyAlignment="1">
      <alignment horizontal="right" vertical="center"/>
    </xf>
    <xf numFmtId="0" fontId="27" fillId="0" borderId="0" xfId="0" applyFont="1" applyBorder="1" applyAlignment="1">
      <alignment horizontal="right" vertical="center"/>
    </xf>
    <xf numFmtId="0" fontId="28" fillId="0" borderId="0" xfId="0" applyFont="1" applyBorder="1" applyAlignment="1">
      <alignment horizontal="left"/>
    </xf>
    <xf numFmtId="0" fontId="29" fillId="0" borderId="0" xfId="0" applyFont="1" applyFill="1" applyBorder="1" applyAlignment="1">
      <alignment horizontal="right" vertical="center"/>
    </xf>
    <xf numFmtId="0" fontId="28" fillId="0" borderId="0" xfId="0" applyFont="1" applyFill="1" applyBorder="1" applyAlignment="1">
      <alignment horizontal="left" vertical="center" wrapText="1"/>
    </xf>
    <xf numFmtId="0" fontId="29" fillId="0" borderId="0" xfId="0" applyFont="1" applyBorder="1" applyAlignment="1">
      <alignment wrapText="1"/>
    </xf>
    <xf numFmtId="0" fontId="13" fillId="0" borderId="0" xfId="0" applyFont="1" applyBorder="1" applyAlignment="1">
      <alignment wrapText="1"/>
    </xf>
    <xf numFmtId="2" fontId="13" fillId="0" borderId="0" xfId="0" applyNumberFormat="1" applyFont="1" applyFill="1" applyBorder="1" applyAlignment="1">
      <alignment vertical="center"/>
    </xf>
    <xf numFmtId="2" fontId="13" fillId="0" borderId="0" xfId="0" applyNumberFormat="1" applyFont="1" applyFill="1" applyBorder="1" applyAlignment="1">
      <alignment vertical="center" wrapText="1"/>
    </xf>
    <xf numFmtId="0" fontId="29" fillId="0" borderId="0" xfId="0" applyFont="1" applyBorder="1" applyAlignment="1">
      <alignment vertical="center" wrapText="1"/>
    </xf>
    <xf numFmtId="0" fontId="13" fillId="0" borderId="0" xfId="0" applyFont="1" applyBorder="1" applyAlignment="1">
      <alignment vertical="center" wrapText="1"/>
    </xf>
    <xf numFmtId="0" fontId="28" fillId="0" borderId="0" xfId="0" applyFont="1" applyFill="1" applyBorder="1" applyAlignment="1"/>
    <xf numFmtId="0" fontId="28" fillId="0" borderId="0" xfId="0" applyFont="1" applyFill="1" applyBorder="1" applyAlignment="1">
      <alignment vertical="center" wrapText="1"/>
    </xf>
    <xf numFmtId="10" fontId="0" fillId="0" borderId="0" xfId="0" applyNumberFormat="1"/>
    <xf numFmtId="0" fontId="25" fillId="0" borderId="49" xfId="0" applyFont="1" applyFill="1" applyBorder="1" applyAlignment="1">
      <alignment horizontal="center" vertical="center" wrapText="1"/>
    </xf>
    <xf numFmtId="49" fontId="24" fillId="0" borderId="57" xfId="0" applyNumberFormat="1" applyFont="1" applyFill="1" applyBorder="1" applyAlignment="1">
      <alignment horizontal="center" vertical="center" wrapText="1"/>
    </xf>
    <xf numFmtId="0" fontId="21" fillId="0" borderId="41" xfId="0" applyFont="1" applyFill="1" applyBorder="1" applyAlignment="1">
      <alignment horizontal="left" vertical="center"/>
    </xf>
    <xf numFmtId="4" fontId="21" fillId="0" borderId="58" xfId="0" applyNumberFormat="1" applyFont="1" applyFill="1" applyBorder="1" applyAlignment="1">
      <alignment horizontal="center" vertical="center" wrapText="1"/>
    </xf>
    <xf numFmtId="164" fontId="21" fillId="0" borderId="41" xfId="0" applyNumberFormat="1" applyFont="1" applyFill="1" applyBorder="1" applyAlignment="1">
      <alignment horizontal="center" vertical="center" wrapText="1"/>
    </xf>
    <xf numFmtId="4" fontId="16" fillId="0" borderId="72" xfId="0" applyNumberFormat="1" applyFont="1" applyFill="1" applyBorder="1" applyAlignment="1">
      <alignment horizontal="center" vertical="center" wrapText="1"/>
    </xf>
    <xf numFmtId="0" fontId="29" fillId="0" borderId="0" xfId="0" applyFont="1" applyBorder="1" applyAlignment="1">
      <alignment horizontal="center"/>
    </xf>
    <xf numFmtId="2" fontId="27" fillId="0" borderId="0" xfId="0" applyNumberFormat="1" applyFont="1" applyBorder="1" applyAlignment="1">
      <alignment horizontal="right" wrapText="1"/>
    </xf>
    <xf numFmtId="2" fontId="27" fillId="0" borderId="0" xfId="0" applyNumberFormat="1" applyFont="1" applyBorder="1" applyAlignment="1">
      <alignment horizontal="center" wrapText="1"/>
    </xf>
    <xf numFmtId="0" fontId="0" fillId="0" borderId="0" xfId="0" applyBorder="1" applyAlignment="1">
      <alignment horizontal="left"/>
    </xf>
    <xf numFmtId="0" fontId="21" fillId="0" borderId="44" xfId="0" applyFont="1" applyFill="1" applyBorder="1" applyAlignment="1">
      <alignment vertical="center" wrapText="1"/>
    </xf>
    <xf numFmtId="49" fontId="21" fillId="0" borderId="52" xfId="0" applyNumberFormat="1" applyFont="1" applyFill="1" applyBorder="1" applyAlignment="1">
      <alignment horizontal="center" vertical="center" wrapText="1"/>
    </xf>
    <xf numFmtId="0" fontId="21" fillId="0" borderId="50" xfId="0" applyFont="1" applyFill="1" applyBorder="1" applyAlignment="1">
      <alignment horizontal="left" vertical="center" wrapText="1"/>
    </xf>
    <xf numFmtId="0" fontId="21" fillId="0" borderId="50" xfId="0" applyFont="1" applyFill="1" applyBorder="1" applyAlignment="1">
      <alignment horizontal="center" vertical="center"/>
    </xf>
    <xf numFmtId="164" fontId="21" fillId="0" borderId="50" xfId="0" applyNumberFormat="1" applyFont="1" applyBorder="1" applyAlignment="1">
      <alignment horizontal="center" vertical="center" wrapText="1"/>
    </xf>
    <xf numFmtId="4" fontId="0" fillId="0" borderId="0" xfId="0" applyNumberFormat="1"/>
    <xf numFmtId="0" fontId="40" fillId="0" borderId="64" xfId="0" applyFont="1" applyBorder="1"/>
    <xf numFmtId="44" fontId="0" fillId="0" borderId="0" xfId="0" applyNumberFormat="1" applyBorder="1"/>
    <xf numFmtId="164" fontId="0" fillId="0" borderId="0" xfId="0" applyNumberFormat="1" applyBorder="1"/>
    <xf numFmtId="0" fontId="0" fillId="0" borderId="74" xfId="0" applyBorder="1"/>
    <xf numFmtId="0" fontId="41" fillId="0" borderId="16" xfId="0" applyFont="1" applyBorder="1" applyAlignment="1">
      <alignment horizontal="center" vertical="center" wrapText="1"/>
    </xf>
    <xf numFmtId="164" fontId="35" fillId="0" borderId="36" xfId="0" applyNumberFormat="1" applyFont="1" applyBorder="1" applyAlignment="1">
      <alignment horizontal="center" vertical="center" wrapText="1"/>
    </xf>
    <xf numFmtId="0" fontId="42" fillId="5" borderId="84"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8" fillId="6" borderId="68" xfId="0" applyFont="1" applyFill="1" applyBorder="1" applyAlignment="1">
      <alignment horizontal="center" vertical="center" wrapText="1"/>
    </xf>
    <xf numFmtId="4" fontId="25" fillId="0" borderId="1" xfId="0" applyNumberFormat="1" applyFont="1" applyBorder="1" applyAlignment="1">
      <alignment horizontal="center" vertical="center" wrapText="1"/>
    </xf>
    <xf numFmtId="44" fontId="41" fillId="0" borderId="1" xfId="0" applyNumberFormat="1" applyFont="1" applyBorder="1" applyAlignment="1">
      <alignment horizontal="center" vertical="center" wrapText="1"/>
    </xf>
    <xf numFmtId="0" fontId="18" fillId="0" borderId="68" xfId="0" applyFont="1" applyBorder="1" applyAlignment="1">
      <alignment horizontal="center" vertical="center" wrapText="1"/>
    </xf>
    <xf numFmtId="0" fontId="35" fillId="0" borderId="3" xfId="0" applyFont="1" applyBorder="1" applyAlignment="1">
      <alignment horizontal="left"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4" fontId="25" fillId="0" borderId="3" xfId="0" applyNumberFormat="1" applyFont="1" applyBorder="1" applyAlignment="1">
      <alignment horizontal="center" vertical="center" wrapText="1"/>
    </xf>
    <xf numFmtId="4" fontId="25" fillId="0" borderId="7"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164" fontId="25" fillId="0" borderId="3" xfId="0" applyNumberFormat="1" applyFont="1" applyBorder="1" applyAlignment="1">
      <alignment horizontal="center" vertical="center" wrapText="1"/>
    </xf>
    <xf numFmtId="164" fontId="25" fillId="0" borderId="4" xfId="0" applyNumberFormat="1" applyFont="1" applyBorder="1" applyAlignment="1">
      <alignment horizontal="center" vertical="center" wrapText="1"/>
    </xf>
    <xf numFmtId="164" fontId="41" fillId="0" borderId="3" xfId="0" applyNumberFormat="1" applyFont="1" applyBorder="1" applyAlignment="1">
      <alignment horizontal="center" vertical="center" wrapText="1"/>
    </xf>
    <xf numFmtId="164" fontId="41" fillId="0" borderId="29"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0" fontId="18" fillId="0" borderId="69" xfId="0" applyFont="1" applyBorder="1" applyAlignment="1">
      <alignment horizontal="center" vertical="center" wrapText="1"/>
    </xf>
    <xf numFmtId="0" fontId="35" fillId="0" borderId="70" xfId="0" applyFont="1" applyBorder="1" applyAlignment="1">
      <alignment horizontal="left" vertical="center" wrapText="1"/>
    </xf>
    <xf numFmtId="0" fontId="35" fillId="0" borderId="34" xfId="0" applyFont="1" applyBorder="1" applyAlignment="1">
      <alignment horizontal="left" vertical="center" wrapText="1"/>
    </xf>
    <xf numFmtId="4" fontId="25" fillId="0" borderId="34" xfId="0" applyNumberFormat="1" applyFont="1" applyBorder="1" applyAlignment="1">
      <alignment horizontal="center" vertical="center" wrapText="1"/>
    </xf>
    <xf numFmtId="0" fontId="35" fillId="0" borderId="34" xfId="0" applyFont="1" applyBorder="1" applyAlignment="1">
      <alignment horizontal="center" vertical="center" wrapText="1"/>
    </xf>
    <xf numFmtId="44" fontId="0" fillId="0" borderId="31" xfId="0" applyNumberFormat="1" applyBorder="1"/>
    <xf numFmtId="164" fontId="25" fillId="0" borderId="70" xfId="0" applyNumberFormat="1" applyFont="1" applyBorder="1" applyAlignment="1">
      <alignment horizontal="center" vertical="center" wrapText="1"/>
    </xf>
    <xf numFmtId="164" fontId="25" fillId="0" borderId="34" xfId="0" applyNumberFormat="1" applyFont="1" applyBorder="1" applyAlignment="1">
      <alignment horizontal="center" vertical="center" wrapText="1"/>
    </xf>
    <xf numFmtId="164" fontId="41" fillId="0" borderId="70" xfId="0" applyNumberFormat="1" applyFont="1" applyBorder="1" applyAlignment="1">
      <alignment horizontal="center" vertical="center" wrapText="1"/>
    </xf>
    <xf numFmtId="164" fontId="41" fillId="0" borderId="35" xfId="0" applyNumberFormat="1" applyFont="1" applyBorder="1" applyAlignment="1">
      <alignment horizontal="center" vertical="center" wrapText="1"/>
    </xf>
    <xf numFmtId="0" fontId="14" fillId="6" borderId="85" xfId="0" applyFont="1" applyFill="1" applyBorder="1" applyAlignment="1">
      <alignment horizontal="center" vertical="center" wrapText="1"/>
    </xf>
    <xf numFmtId="4" fontId="25" fillId="0" borderId="2" xfId="0" applyNumberFormat="1" applyFont="1" applyBorder="1" applyAlignment="1">
      <alignment horizontal="center" vertical="center" wrapText="1"/>
    </xf>
    <xf numFmtId="44" fontId="41" fillId="0" borderId="2" xfId="0" applyNumberFormat="1" applyFont="1" applyBorder="1" applyAlignment="1">
      <alignment horizontal="center" vertical="center" wrapText="1"/>
    </xf>
    <xf numFmtId="0" fontId="18" fillId="0" borderId="66" xfId="0" applyFont="1" applyBorder="1" applyAlignment="1">
      <alignment horizontal="center" vertical="center" wrapText="1"/>
    </xf>
    <xf numFmtId="0" fontId="35" fillId="0" borderId="5"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4" fontId="25" fillId="0" borderId="5" xfId="0" applyNumberFormat="1" applyFont="1" applyBorder="1" applyAlignment="1">
      <alignment horizontal="center" vertical="center" wrapText="1"/>
    </xf>
    <xf numFmtId="4" fontId="25" fillId="0" borderId="8" xfId="0" applyNumberFormat="1" applyFont="1" applyBorder="1" applyAlignment="1">
      <alignment horizontal="center" vertical="center" wrapText="1"/>
    </xf>
    <xf numFmtId="4" fontId="25" fillId="0" borderId="9" xfId="0" applyNumberFormat="1" applyFont="1" applyBorder="1" applyAlignment="1">
      <alignment horizontal="center" vertical="center" wrapText="1"/>
    </xf>
    <xf numFmtId="0" fontId="35" fillId="0" borderId="5" xfId="0" applyFont="1" applyBorder="1" applyAlignment="1">
      <alignment horizontal="center" vertical="center" wrapText="1"/>
    </xf>
    <xf numFmtId="0" fontId="35" fillId="0" borderId="9" xfId="0" applyFont="1" applyBorder="1" applyAlignment="1">
      <alignment horizontal="center" vertical="center" wrapText="1"/>
    </xf>
    <xf numFmtId="164" fontId="25" fillId="0" borderId="5" xfId="0" applyNumberFormat="1" applyFont="1" applyBorder="1" applyAlignment="1">
      <alignment horizontal="center" vertical="center" wrapText="1"/>
    </xf>
    <xf numFmtId="164" fontId="25" fillId="0" borderId="9" xfId="0" applyNumberFormat="1" applyFont="1" applyBorder="1" applyAlignment="1">
      <alignment horizontal="center" vertical="center" wrapText="1"/>
    </xf>
    <xf numFmtId="164" fontId="41" fillId="0" borderId="5" xfId="0" applyNumberFormat="1" applyFont="1" applyBorder="1" applyAlignment="1">
      <alignment horizontal="center" vertical="center" wrapText="1"/>
    </xf>
    <xf numFmtId="164" fontId="41" fillId="0" borderId="27" xfId="0" applyNumberFormat="1" applyFont="1" applyBorder="1" applyAlignment="1">
      <alignment horizontal="center" vertical="center" wrapText="1"/>
    </xf>
    <xf numFmtId="0" fontId="42" fillId="0" borderId="64" xfId="0" applyFont="1" applyBorder="1" applyAlignment="1">
      <alignment vertical="top" wrapText="1"/>
    </xf>
    <xf numFmtId="0" fontId="42" fillId="0" borderId="0" xfId="0" applyFont="1" applyBorder="1" applyAlignment="1">
      <alignment vertical="top" wrapText="1"/>
    </xf>
    <xf numFmtId="0" fontId="42" fillId="0" borderId="64"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64" xfId="0" applyFont="1" applyBorder="1" applyAlignment="1">
      <alignment horizontal="center" vertical="top" wrapText="1"/>
    </xf>
    <xf numFmtId="0" fontId="42" fillId="0" borderId="0" xfId="0" applyFont="1" applyBorder="1" applyAlignment="1">
      <alignment horizontal="center" vertical="top" wrapText="1"/>
    </xf>
    <xf numFmtId="0" fontId="42" fillId="0" borderId="74" xfId="0" applyFont="1" applyBorder="1" applyAlignment="1">
      <alignment horizontal="center" vertical="top" wrapText="1"/>
    </xf>
    <xf numFmtId="0" fontId="42" fillId="0" borderId="64" xfId="0" applyFont="1" applyBorder="1" applyAlignment="1">
      <alignment vertical="center" wrapText="1"/>
    </xf>
    <xf numFmtId="0" fontId="42" fillId="0" borderId="0" xfId="0" applyFont="1" applyBorder="1" applyAlignment="1">
      <alignment vertical="center" wrapText="1"/>
    </xf>
    <xf numFmtId="0" fontId="42" fillId="0" borderId="74" xfId="0" applyFont="1" applyBorder="1" applyAlignment="1">
      <alignment vertical="center" wrapText="1"/>
    </xf>
    <xf numFmtId="0" fontId="43" fillId="0" borderId="64" xfId="0" applyFont="1" applyBorder="1" applyAlignment="1">
      <alignment vertical="top" wrapText="1"/>
    </xf>
    <xf numFmtId="0" fontId="43" fillId="0" borderId="0" xfId="0" applyFont="1" applyBorder="1" applyAlignment="1">
      <alignment vertical="top" wrapText="1"/>
    </xf>
    <xf numFmtId="0" fontId="40" fillId="0" borderId="74" xfId="0" applyFont="1" applyBorder="1" applyAlignment="1">
      <alignment vertical="top" wrapText="1"/>
    </xf>
    <xf numFmtId="0" fontId="40" fillId="0" borderId="64" xfId="0" applyFont="1" applyBorder="1" applyAlignment="1">
      <alignment vertical="top" wrapText="1"/>
    </xf>
    <xf numFmtId="0" fontId="40" fillId="0" borderId="0" xfId="0" applyFont="1" applyBorder="1" applyAlignment="1">
      <alignment vertical="top" wrapText="1"/>
    </xf>
    <xf numFmtId="0" fontId="0" fillId="0" borderId="8" xfId="0" applyBorder="1"/>
    <xf numFmtId="0" fontId="27" fillId="0" borderId="0" xfId="3" applyFont="1" applyFill="1" applyBorder="1" applyAlignment="1">
      <alignment horizontal="center" vertical="center"/>
    </xf>
    <xf numFmtId="164" fontId="27" fillId="0" borderId="0" xfId="3" applyNumberFormat="1" applyFont="1" applyFill="1" applyBorder="1" applyAlignment="1">
      <alignment horizontal="center" vertical="center"/>
    </xf>
    <xf numFmtId="0" fontId="45" fillId="0" borderId="0" xfId="3"/>
    <xf numFmtId="0" fontId="47" fillId="0" borderId="0" xfId="3" applyFont="1" applyFill="1" applyBorder="1" applyAlignment="1">
      <alignment vertical="center"/>
    </xf>
    <xf numFmtId="0" fontId="26" fillId="0" borderId="0" xfId="3" applyFont="1" applyFill="1" applyAlignment="1">
      <alignment horizontal="justify" vertical="distributed"/>
    </xf>
    <xf numFmtId="0" fontId="26" fillId="0" borderId="0" xfId="3" applyFont="1" applyAlignment="1">
      <alignment horizontal="justify" vertical="distributed"/>
    </xf>
    <xf numFmtId="0" fontId="32" fillId="0" borderId="0" xfId="3" applyFont="1"/>
    <xf numFmtId="0" fontId="48" fillId="0" borderId="7" xfId="3" applyFont="1" applyFill="1" applyBorder="1" applyAlignment="1">
      <alignment vertical="distributed"/>
    </xf>
    <xf numFmtId="10" fontId="50" fillId="0" borderId="4" xfId="3" applyNumberFormat="1" applyFont="1" applyFill="1" applyBorder="1" applyAlignment="1">
      <alignment horizontal="left" vertical="distributed"/>
    </xf>
    <xf numFmtId="10" fontId="50" fillId="0" borderId="35" xfId="4" applyNumberFormat="1" applyFont="1" applyFill="1" applyBorder="1" applyAlignment="1">
      <alignment horizontal="center" vertical="distributed"/>
    </xf>
    <xf numFmtId="164" fontId="48" fillId="0" borderId="34" xfId="3" applyNumberFormat="1" applyFont="1" applyFill="1" applyBorder="1" applyAlignment="1">
      <alignment horizontal="center" vertical="distributed"/>
    </xf>
    <xf numFmtId="0" fontId="27" fillId="7" borderId="37" xfId="3" applyFont="1" applyFill="1" applyBorder="1" applyAlignment="1">
      <alignment horizontal="center" vertical="center"/>
    </xf>
    <xf numFmtId="0" fontId="27" fillId="7" borderId="38" xfId="3" applyFont="1" applyFill="1" applyBorder="1" applyAlignment="1">
      <alignment horizontal="center" vertical="center"/>
    </xf>
    <xf numFmtId="164" fontId="27" fillId="7" borderId="38" xfId="3" applyNumberFormat="1" applyFont="1" applyFill="1" applyBorder="1" applyAlignment="1">
      <alignment horizontal="center" vertical="center" wrapText="1"/>
    </xf>
    <xf numFmtId="164" fontId="27" fillId="7" borderId="39" xfId="3" applyNumberFormat="1" applyFont="1" applyFill="1" applyBorder="1" applyAlignment="1">
      <alignment horizontal="center" vertical="center" wrapText="1"/>
    </xf>
    <xf numFmtId="166" fontId="27" fillId="7" borderId="90" xfId="3" applyNumberFormat="1" applyFont="1" applyFill="1" applyBorder="1" applyAlignment="1">
      <alignment vertical="center"/>
    </xf>
    <xf numFmtId="0" fontId="50" fillId="7" borderId="43" xfId="3" applyFont="1" applyFill="1" applyBorder="1" applyAlignment="1" applyProtection="1">
      <alignment horizontal="center" vertical="center" wrapText="1"/>
      <protection locked="0"/>
    </xf>
    <xf numFmtId="0" fontId="50" fillId="7" borderId="44" xfId="3" applyFont="1" applyFill="1" applyBorder="1" applyAlignment="1" applyProtection="1">
      <alignment vertical="center" wrapText="1"/>
      <protection locked="0"/>
    </xf>
    <xf numFmtId="0" fontId="50" fillId="7" borderId="53" xfId="3" applyFont="1" applyFill="1" applyBorder="1" applyAlignment="1" applyProtection="1">
      <alignment vertical="center"/>
      <protection locked="0"/>
    </xf>
    <xf numFmtId="0" fontId="50" fillId="7" borderId="51" xfId="3" applyFont="1" applyFill="1" applyBorder="1" applyAlignment="1" applyProtection="1">
      <alignment vertical="center"/>
      <protection locked="0"/>
    </xf>
    <xf numFmtId="164" fontId="50" fillId="7" borderId="45" xfId="3" applyNumberFormat="1" applyFont="1" applyFill="1" applyBorder="1" applyAlignment="1" applyProtection="1">
      <alignment vertical="center" wrapText="1"/>
      <protection locked="0"/>
    </xf>
    <xf numFmtId="0" fontId="21" fillId="0" borderId="43" xfId="3" applyFont="1" applyFill="1" applyBorder="1" applyAlignment="1">
      <alignment horizontal="center" vertical="center" wrapText="1"/>
    </xf>
    <xf numFmtId="49" fontId="21" fillId="0" borderId="44" xfId="3" applyNumberFormat="1" applyFont="1" applyFill="1" applyBorder="1" applyAlignment="1">
      <alignment horizontal="center" vertical="center" wrapText="1"/>
    </xf>
    <xf numFmtId="2" fontId="21" fillId="0" borderId="44" xfId="5" applyNumberFormat="1" applyFont="1" applyFill="1" applyBorder="1" applyAlignment="1">
      <alignment horizontal="center" vertical="center" wrapText="1"/>
    </xf>
    <xf numFmtId="4" fontId="21" fillId="0" borderId="44" xfId="3" applyNumberFormat="1" applyFont="1" applyBorder="1" applyAlignment="1">
      <alignment horizontal="center" vertical="center" wrapText="1"/>
    </xf>
    <xf numFmtId="164" fontId="21" fillId="0" borderId="44" xfId="3" applyNumberFormat="1" applyFont="1" applyBorder="1" applyAlignment="1">
      <alignment horizontal="center" vertical="center" wrapText="1"/>
    </xf>
    <xf numFmtId="164" fontId="21" fillId="0" borderId="45" xfId="3" applyNumberFormat="1" applyFont="1" applyBorder="1" applyAlignment="1">
      <alignment horizontal="center" vertical="center" wrapText="1"/>
    </xf>
    <xf numFmtId="4" fontId="45" fillId="0" borderId="0" xfId="3" applyNumberFormat="1"/>
    <xf numFmtId="164" fontId="32" fillId="0" borderId="0" xfId="3" applyNumberFormat="1" applyFont="1"/>
    <xf numFmtId="0" fontId="50" fillId="7" borderId="53" xfId="3" applyFont="1" applyFill="1" applyBorder="1" applyAlignment="1" applyProtection="1">
      <alignment vertical="center" wrapText="1"/>
      <protection locked="0"/>
    </xf>
    <xf numFmtId="0" fontId="50" fillId="7" borderId="51" xfId="3" applyFont="1" applyFill="1" applyBorder="1" applyAlignment="1" applyProtection="1">
      <alignment vertical="center" wrapText="1"/>
      <protection locked="0"/>
    </xf>
    <xf numFmtId="164" fontId="21" fillId="0" borderId="0" xfId="3" applyNumberFormat="1" applyFont="1" applyBorder="1" applyAlignment="1">
      <alignment horizontal="center" vertical="center" wrapText="1"/>
    </xf>
    <xf numFmtId="2" fontId="21" fillId="0" borderId="44" xfId="6" applyNumberFormat="1" applyFont="1" applyFill="1" applyBorder="1" applyAlignment="1">
      <alignment horizontal="center" vertical="center" wrapText="1"/>
    </xf>
    <xf numFmtId="49" fontId="21" fillId="0" borderId="44" xfId="3" applyNumberFormat="1" applyFont="1" applyBorder="1" applyAlignment="1">
      <alignment horizontal="center" vertical="center" wrapText="1"/>
    </xf>
    <xf numFmtId="0" fontId="21" fillId="0" borderId="53" xfId="3" applyFont="1" applyFill="1" applyBorder="1" applyAlignment="1">
      <alignment vertical="center"/>
    </xf>
    <xf numFmtId="0" fontId="21" fillId="0" borderId="51" xfId="3" applyFont="1" applyFill="1" applyBorder="1" applyAlignment="1">
      <alignment vertical="center"/>
    </xf>
    <xf numFmtId="164" fontId="45" fillId="0" borderId="0" xfId="3" applyNumberFormat="1"/>
    <xf numFmtId="0" fontId="45" fillId="0" borderId="0" xfId="3" applyBorder="1" applyAlignment="1">
      <alignment vertical="center"/>
    </xf>
    <xf numFmtId="164" fontId="45" fillId="0" borderId="0" xfId="3" applyNumberFormat="1" applyBorder="1" applyAlignment="1">
      <alignment vertical="center"/>
    </xf>
    <xf numFmtId="0" fontId="45" fillId="0" borderId="0" xfId="3" applyBorder="1" applyAlignment="1">
      <alignment horizontal="center" vertical="center"/>
    </xf>
    <xf numFmtId="164" fontId="45" fillId="0" borderId="0" xfId="3" applyNumberFormat="1" applyBorder="1" applyAlignment="1">
      <alignment horizontal="center" vertical="center"/>
    </xf>
    <xf numFmtId="0" fontId="19" fillId="0" borderId="0" xfId="3" applyFont="1" applyBorder="1" applyAlignment="1">
      <alignment vertical="center"/>
    </xf>
    <xf numFmtId="0" fontId="19" fillId="0" borderId="8" xfId="3" applyFont="1" applyBorder="1" applyAlignment="1">
      <alignment vertical="center"/>
    </xf>
    <xf numFmtId="164" fontId="19" fillId="0" borderId="0" xfId="3" applyNumberFormat="1" applyFont="1" applyBorder="1" applyAlignment="1">
      <alignment horizontal="center" vertical="center"/>
    </xf>
    <xf numFmtId="164" fontId="19" fillId="0" borderId="0" xfId="3" applyNumberFormat="1" applyFont="1" applyBorder="1" applyAlignment="1">
      <alignment vertical="center"/>
    </xf>
    <xf numFmtId="0" fontId="19" fillId="0" borderId="8" xfId="3" applyFont="1" applyBorder="1" applyAlignment="1">
      <alignment horizontal="center" vertical="center"/>
    </xf>
    <xf numFmtId="49" fontId="21" fillId="0" borderId="44" xfId="0" applyNumberFormat="1" applyFont="1" applyFill="1" applyBorder="1" applyAlignment="1">
      <alignment horizontal="center" vertical="center" wrapText="1"/>
    </xf>
    <xf numFmtId="0" fontId="45" fillId="0" borderId="5" xfId="3" applyBorder="1"/>
    <xf numFmtId="0" fontId="52" fillId="0" borderId="1" xfId="3" applyFont="1" applyBorder="1" applyAlignment="1">
      <alignment vertical="center"/>
    </xf>
    <xf numFmtId="0" fontId="52" fillId="0" borderId="1" xfId="3" applyFont="1" applyBorder="1" applyAlignment="1">
      <alignment horizontal="left" vertical="center"/>
    </xf>
    <xf numFmtId="0" fontId="52" fillId="0" borderId="1" xfId="3" applyFont="1" applyBorder="1" applyAlignment="1">
      <alignment vertical="center" wrapText="1"/>
    </xf>
    <xf numFmtId="0" fontId="52" fillId="0" borderId="1" xfId="3" applyFont="1" applyBorder="1" applyAlignment="1">
      <alignment horizontal="center" vertical="center"/>
    </xf>
    <xf numFmtId="0" fontId="52" fillId="0" borderId="4" xfId="3" applyFont="1" applyBorder="1" applyAlignment="1" applyProtection="1">
      <alignment horizontal="center" vertical="center"/>
    </xf>
    <xf numFmtId="0" fontId="52" fillId="0" borderId="4" xfId="3" applyFont="1" applyBorder="1" applyAlignment="1" applyProtection="1">
      <alignment horizontal="right" vertical="center"/>
    </xf>
    <xf numFmtId="0" fontId="53" fillId="0" borderId="1" xfId="3" applyFont="1" applyFill="1" applyBorder="1" applyAlignment="1" applyProtection="1">
      <alignment horizontal="centerContinuous" vertical="center" wrapText="1"/>
    </xf>
    <xf numFmtId="0" fontId="53" fillId="0" borderId="1" xfId="3" applyFont="1" applyFill="1" applyBorder="1" applyAlignment="1" applyProtection="1">
      <alignment horizontal="left" vertical="center" wrapText="1"/>
    </xf>
    <xf numFmtId="0" fontId="52" fillId="8" borderId="0" xfId="3" applyFont="1" applyFill="1" applyBorder="1" applyAlignment="1" applyProtection="1">
      <alignment horizontal="left" vertical="center" wrapText="1"/>
      <protection locked="0"/>
    </xf>
    <xf numFmtId="0" fontId="52" fillId="8" borderId="6" xfId="3" applyFont="1" applyFill="1" applyBorder="1" applyAlignment="1" applyProtection="1">
      <alignment horizontal="center" vertical="center"/>
      <protection locked="0"/>
    </xf>
    <xf numFmtId="17" fontId="52" fillId="8" borderId="1" xfId="3" applyNumberFormat="1" applyFont="1" applyFill="1" applyBorder="1" applyAlignment="1" applyProtection="1">
      <alignment horizontal="center" vertical="center"/>
      <protection locked="0"/>
    </xf>
    <xf numFmtId="164" fontId="52" fillId="0" borderId="4" xfId="3" applyNumberFormat="1" applyFont="1" applyBorder="1" applyAlignment="1" applyProtection="1">
      <alignment vertical="center"/>
    </xf>
    <xf numFmtId="0" fontId="53" fillId="0" borderId="1" xfId="3" applyFont="1" applyFill="1" applyBorder="1" applyAlignment="1">
      <alignment vertical="center"/>
    </xf>
    <xf numFmtId="0" fontId="53" fillId="0" borderId="1" xfId="3" applyFont="1" applyFill="1" applyBorder="1" applyAlignment="1">
      <alignment horizontal="left" vertical="center"/>
    </xf>
    <xf numFmtId="0" fontId="53" fillId="0" borderId="1" xfId="3" applyFont="1" applyFill="1" applyBorder="1" applyAlignment="1">
      <alignment horizontal="center" vertical="center"/>
    </xf>
    <xf numFmtId="0" fontId="53" fillId="8" borderId="91" xfId="3" applyFont="1" applyFill="1" applyBorder="1" applyAlignment="1" applyProtection="1">
      <alignment horizontal="center" vertical="center" wrapText="1"/>
      <protection locked="0"/>
    </xf>
    <xf numFmtId="0" fontId="53" fillId="8" borderId="91" xfId="3" applyFont="1" applyFill="1" applyBorder="1" applyAlignment="1" applyProtection="1">
      <alignment horizontal="left" vertical="center" wrapText="1"/>
      <protection locked="0"/>
    </xf>
    <xf numFmtId="0" fontId="53" fillId="8" borderId="91" xfId="3" applyFont="1" applyFill="1" applyBorder="1" applyAlignment="1" applyProtection="1">
      <alignment vertical="center" wrapText="1"/>
      <protection locked="0"/>
    </xf>
    <xf numFmtId="169" fontId="53" fillId="8" borderId="91" xfId="3" applyNumberFormat="1" applyFont="1" applyFill="1" applyBorder="1" applyAlignment="1" applyProtection="1">
      <alignment vertical="center" wrapText="1"/>
      <protection locked="0"/>
    </xf>
    <xf numFmtId="164" fontId="53" fillId="8" borderId="91" xfId="3" applyNumberFormat="1" applyFont="1" applyFill="1" applyBorder="1" applyAlignment="1" applyProtection="1">
      <alignment vertical="center" wrapText="1"/>
      <protection locked="0"/>
    </xf>
    <xf numFmtId="164" fontId="53" fillId="0" borderId="92" xfId="3" applyNumberFormat="1" applyFont="1" applyBorder="1" applyAlignment="1">
      <alignment vertical="center"/>
    </xf>
    <xf numFmtId="164" fontId="53" fillId="0" borderId="92" xfId="3" quotePrefix="1" applyNumberFormat="1" applyFont="1" applyBorder="1" applyAlignment="1">
      <alignment vertical="center"/>
    </xf>
    <xf numFmtId="0" fontId="53" fillId="8" borderId="93" xfId="3" applyFont="1" applyFill="1" applyBorder="1" applyAlignment="1" applyProtection="1">
      <alignment vertical="center" wrapText="1"/>
      <protection locked="0"/>
    </xf>
    <xf numFmtId="0" fontId="53" fillId="8" borderId="93" xfId="3" applyFont="1" applyFill="1" applyBorder="1" applyAlignment="1" applyProtection="1">
      <alignment horizontal="center" vertical="center" wrapText="1"/>
      <protection locked="0"/>
    </xf>
    <xf numFmtId="164" fontId="53" fillId="0" borderId="91" xfId="3" applyNumberFormat="1" applyFont="1" applyBorder="1" applyAlignment="1">
      <alignment vertical="center"/>
    </xf>
    <xf numFmtId="0" fontId="13" fillId="0" borderId="0" xfId="7"/>
    <xf numFmtId="0" fontId="13" fillId="9" borderId="0" xfId="7" applyFill="1" applyBorder="1"/>
    <xf numFmtId="0" fontId="13" fillId="9" borderId="0" xfId="7" applyFill="1" applyBorder="1" applyAlignment="1">
      <alignment wrapText="1"/>
    </xf>
    <xf numFmtId="0" fontId="27" fillId="9" borderId="3" xfId="7" applyFont="1" applyFill="1" applyBorder="1" applyAlignment="1">
      <alignment vertical="center"/>
    </xf>
    <xf numFmtId="164" fontId="27" fillId="9" borderId="4" xfId="7" applyNumberFormat="1" applyFont="1" applyFill="1" applyBorder="1" applyAlignment="1">
      <alignment horizontal="left" vertical="center"/>
    </xf>
    <xf numFmtId="0" fontId="27" fillId="9" borderId="68" xfId="7" applyFont="1" applyFill="1" applyBorder="1" applyAlignment="1">
      <alignment horizontal="center" vertical="center"/>
    </xf>
    <xf numFmtId="0" fontId="27" fillId="9" borderId="1" xfId="7" applyFont="1" applyFill="1" applyBorder="1" applyAlignment="1">
      <alignment horizontal="center" vertical="center"/>
    </xf>
    <xf numFmtId="0" fontId="27" fillId="9" borderId="1" xfId="7" applyFont="1" applyFill="1" applyBorder="1" applyAlignment="1">
      <alignment horizontal="center" vertical="center" wrapText="1"/>
    </xf>
    <xf numFmtId="49" fontId="18" fillId="9" borderId="94" xfId="7" applyNumberFormat="1" applyFont="1" applyFill="1" applyBorder="1" applyAlignment="1">
      <alignment horizontal="center" vertical="top" wrapText="1"/>
    </xf>
    <xf numFmtId="10" fontId="54" fillId="9" borderId="94" xfId="7" applyNumberFormat="1" applyFont="1" applyFill="1" applyBorder="1" applyAlignment="1">
      <alignment vertical="top" wrapText="1"/>
    </xf>
    <xf numFmtId="10" fontId="18" fillId="9" borderId="94" xfId="7" applyNumberFormat="1" applyFont="1" applyFill="1" applyBorder="1" applyAlignment="1">
      <alignment vertical="top" wrapText="1"/>
    </xf>
    <xf numFmtId="49" fontId="18" fillId="9" borderId="91" xfId="7" applyNumberFormat="1" applyFont="1" applyFill="1" applyBorder="1" applyAlignment="1">
      <alignment horizontal="center" vertical="top" wrapText="1"/>
    </xf>
    <xf numFmtId="4" fontId="18" fillId="9" borderId="91" xfId="7" applyNumberFormat="1" applyFont="1" applyFill="1" applyBorder="1" applyAlignment="1">
      <alignment vertical="top" wrapText="1"/>
    </xf>
    <xf numFmtId="10" fontId="13" fillId="0" borderId="0" xfId="7" applyNumberFormat="1"/>
    <xf numFmtId="49" fontId="14" fillId="9" borderId="92" xfId="7" applyNumberFormat="1" applyFont="1" applyFill="1" applyBorder="1" applyAlignment="1">
      <alignment horizontal="center" vertical="top" wrapText="1"/>
    </xf>
    <xf numFmtId="10" fontId="14" fillId="9" borderId="1" xfId="7" applyNumberFormat="1" applyFont="1" applyFill="1" applyBorder="1" applyAlignment="1">
      <alignment vertical="top" wrapText="1"/>
    </xf>
    <xf numFmtId="49" fontId="14" fillId="9" borderId="96" xfId="7" applyNumberFormat="1" applyFont="1" applyFill="1" applyBorder="1" applyAlignment="1">
      <alignment horizontal="center" vertical="top" wrapText="1"/>
    </xf>
    <xf numFmtId="167" fontId="14" fillId="9" borderId="1" xfId="7" applyNumberFormat="1" applyFont="1" applyFill="1" applyBorder="1" applyAlignment="1">
      <alignment vertical="top" wrapText="1"/>
    </xf>
    <xf numFmtId="4" fontId="13" fillId="0" borderId="0" xfId="7" applyNumberFormat="1"/>
    <xf numFmtId="0" fontId="13" fillId="9" borderId="30" xfId="7" applyFill="1" applyBorder="1" applyAlignment="1">
      <alignment vertical="center"/>
    </xf>
    <xf numFmtId="0" fontId="13" fillId="9" borderId="31" xfId="7" applyFill="1" applyBorder="1" applyAlignment="1">
      <alignment vertical="center"/>
    </xf>
    <xf numFmtId="0" fontId="13" fillId="9" borderId="31" xfId="7" applyFill="1" applyBorder="1" applyAlignment="1">
      <alignment vertical="center" wrapText="1"/>
    </xf>
    <xf numFmtId="0" fontId="27" fillId="9" borderId="14" xfId="7" applyFont="1" applyFill="1" applyBorder="1" applyAlignment="1">
      <alignment wrapText="1"/>
    </xf>
    <xf numFmtId="0" fontId="27" fillId="9" borderId="15" xfId="7" applyFont="1" applyFill="1" applyBorder="1" applyAlignment="1">
      <alignment wrapText="1"/>
    </xf>
    <xf numFmtId="0" fontId="27" fillId="9" borderId="64" xfId="7" applyFont="1" applyFill="1" applyBorder="1" applyAlignment="1">
      <alignment wrapText="1"/>
    </xf>
    <xf numFmtId="0" fontId="27" fillId="9" borderId="0" xfId="7" applyFont="1" applyFill="1" applyBorder="1" applyAlignment="1">
      <alignment wrapText="1"/>
    </xf>
    <xf numFmtId="0" fontId="13" fillId="0" borderId="11" xfId="7" applyBorder="1" applyAlignment="1">
      <alignment vertical="center"/>
    </xf>
    <xf numFmtId="0" fontId="27" fillId="9" borderId="64" xfId="7" applyFont="1" applyFill="1" applyBorder="1"/>
    <xf numFmtId="0" fontId="13" fillId="9" borderId="30" xfId="7" applyFont="1" applyFill="1" applyBorder="1"/>
    <xf numFmtId="0" fontId="13" fillId="9" borderId="31" xfId="7" applyFill="1" applyBorder="1" applyAlignment="1">
      <alignment wrapText="1"/>
    </xf>
    <xf numFmtId="0" fontId="13" fillId="9" borderId="31" xfId="7" applyFill="1" applyBorder="1"/>
    <xf numFmtId="0" fontId="13" fillId="9" borderId="64" xfId="7" applyFont="1" applyFill="1" applyBorder="1"/>
    <xf numFmtId="0" fontId="19" fillId="4" borderId="0" xfId="7" applyFont="1" applyFill="1" applyBorder="1" applyAlignment="1">
      <alignment horizontal="center" vertical="center" wrapText="1"/>
    </xf>
    <xf numFmtId="0" fontId="13" fillId="9" borderId="0" xfId="7" applyFill="1"/>
    <xf numFmtId="0" fontId="13" fillId="9" borderId="0" xfId="7" applyFill="1" applyAlignment="1">
      <alignment wrapText="1"/>
    </xf>
    <xf numFmtId="2" fontId="38" fillId="4" borderId="1" xfId="0" applyNumberFormat="1" applyFont="1" applyFill="1" applyBorder="1" applyAlignment="1">
      <alignment horizontal="center" vertical="center"/>
    </xf>
    <xf numFmtId="0" fontId="29" fillId="4" borderId="0" xfId="0" applyFont="1" applyFill="1" applyAlignment="1">
      <alignment horizontal="center"/>
    </xf>
    <xf numFmtId="0" fontId="29" fillId="4" borderId="0" xfId="0" applyFont="1" applyFill="1" applyBorder="1" applyAlignment="1">
      <alignment horizontal="center" vertical="center"/>
    </xf>
    <xf numFmtId="0" fontId="29" fillId="4" borderId="0" xfId="0" applyFont="1" applyFill="1" applyBorder="1" applyAlignment="1">
      <alignment horizontal="center"/>
    </xf>
    <xf numFmtId="0" fontId="21" fillId="4" borderId="43" xfId="3" applyFont="1" applyFill="1" applyBorder="1" applyAlignment="1">
      <alignment horizontal="center" vertical="center" wrapText="1"/>
    </xf>
    <xf numFmtId="0" fontId="11" fillId="0" borderId="0" xfId="8"/>
    <xf numFmtId="0" fontId="56" fillId="4" borderId="0" xfId="8" applyFont="1" applyFill="1" applyAlignment="1" applyProtection="1">
      <alignment vertical="center"/>
      <protection locked="0"/>
    </xf>
    <xf numFmtId="0" fontId="8" fillId="4" borderId="0" xfId="8" applyFont="1" applyFill="1"/>
    <xf numFmtId="0" fontId="8" fillId="0" borderId="0" xfId="8" applyFont="1"/>
    <xf numFmtId="0" fontId="55" fillId="0" borderId="0" xfId="8" applyFont="1" applyFill="1" applyBorder="1" applyAlignment="1" applyProtection="1">
      <alignment horizontal="center" vertical="center"/>
      <protection locked="0"/>
    </xf>
    <xf numFmtId="0" fontId="56" fillId="0" borderId="0" xfId="3" applyFont="1" applyAlignment="1" applyProtection="1">
      <alignment vertical="center"/>
      <protection locked="0"/>
    </xf>
    <xf numFmtId="0" fontId="8" fillId="0" borderId="0" xfId="8" applyFont="1" applyBorder="1"/>
    <xf numFmtId="0" fontId="27" fillId="0" borderId="99" xfId="3" applyFont="1" applyBorder="1" applyAlignment="1" applyProtection="1">
      <alignment horizontal="center" vertical="center"/>
      <protection locked="0"/>
    </xf>
    <xf numFmtId="0" fontId="27" fillId="0" borderId="41" xfId="3" applyFont="1" applyFill="1" applyBorder="1" applyAlignment="1" applyProtection="1">
      <alignment horizontal="center" vertical="center"/>
      <protection locked="0"/>
    </xf>
    <xf numFmtId="0" fontId="27" fillId="0" borderId="41" xfId="3" applyFont="1" applyFill="1" applyBorder="1" applyAlignment="1" applyProtection="1">
      <alignment horizontal="center" vertical="center" wrapText="1"/>
      <protection locked="0"/>
    </xf>
    <xf numFmtId="0" fontId="27" fillId="0" borderId="100" xfId="3" applyFont="1" applyFill="1" applyBorder="1" applyAlignment="1" applyProtection="1">
      <alignment horizontal="center" vertical="center"/>
      <protection locked="0"/>
    </xf>
    <xf numFmtId="0" fontId="27" fillId="0" borderId="58" xfId="3" applyFont="1" applyFill="1" applyBorder="1" applyAlignment="1" applyProtection="1">
      <alignment horizontal="center" vertical="center" wrapText="1"/>
      <protection locked="0"/>
    </xf>
    <xf numFmtId="0" fontId="27" fillId="0" borderId="90" xfId="3" applyFont="1" applyFill="1" applyBorder="1" applyAlignment="1" applyProtection="1">
      <alignment horizontal="center" vertical="center" wrapText="1"/>
      <protection locked="0"/>
    </xf>
    <xf numFmtId="43" fontId="13" fillId="0" borderId="44" xfId="5" applyFont="1" applyFill="1" applyBorder="1" applyAlignment="1" applyProtection="1">
      <alignment horizontal="center" vertical="center"/>
      <protection locked="0"/>
    </xf>
    <xf numFmtId="43" fontId="13" fillId="0" borderId="103" xfId="5" applyFont="1" applyFill="1" applyBorder="1" applyAlignment="1" applyProtection="1">
      <alignment horizontal="right" vertical="center"/>
      <protection locked="0"/>
    </xf>
    <xf numFmtId="43" fontId="13" fillId="0" borderId="53" xfId="5" applyFont="1" applyFill="1" applyBorder="1" applyAlignment="1" applyProtection="1">
      <alignment horizontal="right" vertical="center"/>
      <protection locked="0"/>
    </xf>
    <xf numFmtId="43" fontId="27" fillId="2" borderId="17" xfId="5" applyFont="1" applyFill="1" applyBorder="1" applyAlignment="1" applyProtection="1">
      <alignment horizontal="right" vertical="center"/>
      <protection locked="0"/>
    </xf>
    <xf numFmtId="43" fontId="27" fillId="2" borderId="71" xfId="5" applyFont="1" applyFill="1" applyBorder="1" applyAlignment="1" applyProtection="1">
      <alignment horizontal="right" vertical="center"/>
      <protection locked="0"/>
    </xf>
    <xf numFmtId="43" fontId="56" fillId="0" borderId="0" xfId="5" applyFont="1" applyFill="1" applyBorder="1" applyAlignment="1" applyProtection="1">
      <alignment horizontal="right" vertical="center"/>
      <protection locked="0"/>
    </xf>
    <xf numFmtId="43" fontId="10" fillId="0" borderId="0" xfId="5" applyFont="1" applyFill="1" applyBorder="1" applyAlignment="1" applyProtection="1">
      <alignment horizontal="right" vertical="center"/>
      <protection locked="0"/>
    </xf>
    <xf numFmtId="2" fontId="8" fillId="0" borderId="0" xfId="8" applyNumberFormat="1" applyFont="1" applyFill="1" applyBorder="1" applyAlignment="1">
      <alignment horizontal="center" vertical="center"/>
    </xf>
    <xf numFmtId="0" fontId="8" fillId="0" borderId="0" xfId="8" applyFont="1" applyFill="1" applyBorder="1"/>
    <xf numFmtId="43" fontId="56" fillId="0" borderId="0" xfId="5" applyFont="1" applyFill="1" applyBorder="1" applyAlignment="1" applyProtection="1">
      <alignment vertical="center"/>
      <protection locked="0"/>
    </xf>
    <xf numFmtId="43" fontId="56" fillId="0" borderId="0" xfId="5" applyFont="1" applyFill="1" applyBorder="1" applyAlignment="1" applyProtection="1">
      <alignment vertical="center" wrapText="1"/>
      <protection locked="0"/>
    </xf>
    <xf numFmtId="43" fontId="10" fillId="0" borderId="0" xfId="5" applyFont="1" applyFill="1" applyBorder="1" applyAlignment="1" applyProtection="1">
      <alignment vertical="center"/>
      <protection locked="0"/>
    </xf>
    <xf numFmtId="43" fontId="10" fillId="2" borderId="0" xfId="5" applyFont="1" applyFill="1" applyBorder="1" applyAlignment="1" applyProtection="1">
      <alignment horizontal="right" vertical="center"/>
      <protection locked="0"/>
    </xf>
    <xf numFmtId="0" fontId="10" fillId="0" borderId="0" xfId="8" applyFont="1" applyFill="1" applyBorder="1"/>
    <xf numFmtId="0" fontId="56" fillId="0" borderId="0" xfId="8" applyFont="1" applyFill="1" applyBorder="1" applyAlignment="1" applyProtection="1">
      <alignment vertical="center"/>
      <protection locked="0"/>
    </xf>
    <xf numFmtId="0" fontId="57" fillId="0" borderId="0" xfId="8" applyFont="1" applyFill="1" applyBorder="1" applyAlignment="1" applyProtection="1">
      <alignment vertical="center"/>
      <protection locked="0"/>
    </xf>
    <xf numFmtId="0" fontId="57" fillId="0" borderId="0" xfId="8" applyFont="1" applyBorder="1" applyAlignment="1" applyProtection="1">
      <alignment horizontal="center" vertical="center"/>
      <protection locked="0"/>
    </xf>
    <xf numFmtId="0" fontId="57" fillId="0" borderId="0" xfId="8" applyFont="1" applyFill="1" applyBorder="1" applyAlignment="1" applyProtection="1">
      <alignment horizontal="center" vertical="center" wrapText="1"/>
      <protection locked="0"/>
    </xf>
    <xf numFmtId="2" fontId="8" fillId="0" borderId="0" xfId="8" applyNumberFormat="1" applyFont="1" applyFill="1" applyBorder="1" applyAlignment="1">
      <alignment vertical="center" wrapText="1"/>
    </xf>
    <xf numFmtId="2" fontId="8" fillId="0" borderId="0" xfId="8" applyNumberFormat="1" applyFont="1" applyFill="1" applyBorder="1" applyAlignment="1">
      <alignment vertical="center"/>
    </xf>
    <xf numFmtId="2" fontId="10" fillId="2" borderId="0" xfId="8" applyNumberFormat="1" applyFont="1" applyFill="1" applyBorder="1" applyAlignment="1">
      <alignment horizontal="right"/>
    </xf>
    <xf numFmtId="0" fontId="10" fillId="2" borderId="0" xfId="8" applyFont="1" applyFill="1" applyBorder="1"/>
    <xf numFmtId="2" fontId="8" fillId="0" borderId="0" xfId="8" applyNumberFormat="1" applyFont="1" applyFill="1" applyBorder="1" applyAlignment="1">
      <alignment horizontal="center"/>
    </xf>
    <xf numFmtId="0" fontId="57" fillId="0" borderId="0" xfId="8" applyFont="1" applyFill="1" applyBorder="1" applyAlignment="1" applyProtection="1">
      <alignment horizontal="center" vertical="center"/>
      <protection locked="0"/>
    </xf>
    <xf numFmtId="0" fontId="57" fillId="0" borderId="0" xfId="8" applyFont="1" applyBorder="1" applyAlignment="1" applyProtection="1">
      <alignment horizontal="center" vertical="center" wrapText="1"/>
      <protection locked="0"/>
    </xf>
    <xf numFmtId="43" fontId="56" fillId="0" borderId="0" xfId="5" applyFont="1" applyFill="1" applyBorder="1" applyAlignment="1" applyProtection="1">
      <alignment horizontal="center" vertical="center"/>
      <protection locked="0"/>
    </xf>
    <xf numFmtId="43" fontId="57" fillId="2" borderId="0" xfId="5" applyFont="1" applyFill="1" applyBorder="1" applyAlignment="1" applyProtection="1">
      <alignment horizontal="right" vertical="center"/>
      <protection locked="0"/>
    </xf>
    <xf numFmtId="0" fontId="56" fillId="0" borderId="0" xfId="8" applyFont="1" applyFill="1" applyBorder="1" applyAlignment="1" applyProtection="1">
      <alignment horizontal="center" vertical="center"/>
      <protection locked="0"/>
    </xf>
    <xf numFmtId="43" fontId="56" fillId="0" borderId="0" xfId="5" applyFont="1" applyBorder="1" applyAlignment="1" applyProtection="1">
      <alignment vertical="center"/>
      <protection locked="0"/>
    </xf>
    <xf numFmtId="43" fontId="13" fillId="0" borderId="0" xfId="5" applyFont="1" applyFill="1" applyBorder="1" applyAlignment="1" applyProtection="1">
      <alignment vertical="center"/>
      <protection locked="0"/>
    </xf>
    <xf numFmtId="0" fontId="11" fillId="0" borderId="0" xfId="8" applyBorder="1"/>
    <xf numFmtId="43" fontId="13" fillId="0" borderId="0" xfId="5" applyFont="1" applyBorder="1" applyAlignment="1" applyProtection="1">
      <alignment vertical="center"/>
      <protection locked="0"/>
    </xf>
    <xf numFmtId="2" fontId="11" fillId="0" borderId="0" xfId="8" applyNumberFormat="1" applyFont="1" applyFill="1" applyBorder="1" applyAlignment="1">
      <alignment horizontal="center"/>
    </xf>
    <xf numFmtId="0" fontId="1" fillId="0" borderId="0" xfId="8" applyFont="1" applyFill="1" applyBorder="1" applyAlignment="1"/>
    <xf numFmtId="0" fontId="11" fillId="0" borderId="0" xfId="8" applyFill="1" applyBorder="1"/>
    <xf numFmtId="2" fontId="1" fillId="0" borderId="0" xfId="8" applyNumberFormat="1" applyFont="1" applyFill="1" applyBorder="1"/>
    <xf numFmtId="0" fontId="1" fillId="0" borderId="0" xfId="8" applyFont="1" applyFill="1" applyBorder="1"/>
    <xf numFmtId="0" fontId="27" fillId="0" borderId="0" xfId="8" applyFont="1" applyFill="1" applyBorder="1" applyAlignment="1">
      <alignment horizontal="center"/>
    </xf>
    <xf numFmtId="2" fontId="11" fillId="0" borderId="0" xfId="8" applyNumberFormat="1" applyFill="1" applyBorder="1" applyAlignment="1">
      <alignment horizontal="center"/>
    </xf>
    <xf numFmtId="0" fontId="1" fillId="0" borderId="0" xfId="8" applyFont="1" applyFill="1" applyBorder="1" applyAlignment="1">
      <alignment horizontal="center"/>
    </xf>
    <xf numFmtId="0" fontId="11" fillId="0" borderId="0" xfId="8" applyFont="1" applyFill="1" applyBorder="1" applyAlignment="1">
      <alignment horizontal="center"/>
    </xf>
    <xf numFmtId="0" fontId="11" fillId="0" borderId="0" xfId="8" applyFill="1" applyBorder="1" applyAlignment="1">
      <alignment wrapText="1"/>
    </xf>
    <xf numFmtId="0" fontId="1" fillId="0" borderId="0" xfId="8" applyFont="1" applyFill="1" applyBorder="1" applyAlignment="1">
      <alignment wrapText="1"/>
    </xf>
    <xf numFmtId="2" fontId="11" fillId="0" borderId="0" xfId="8" applyNumberFormat="1" applyFont="1" applyFill="1" applyBorder="1" applyAlignment="1">
      <alignment horizontal="center" vertical="center"/>
    </xf>
    <xf numFmtId="0" fontId="11" fillId="0" borderId="0" xfId="8" applyFont="1" applyFill="1" applyBorder="1" applyAlignment="1"/>
    <xf numFmtId="2" fontId="11" fillId="0" borderId="0" xfId="8" applyNumberFormat="1" applyFont="1" applyFill="1" applyBorder="1" applyAlignment="1"/>
    <xf numFmtId="0" fontId="7" fillId="0" borderId="0" xfId="8" applyFont="1" applyFill="1" applyBorder="1" applyAlignment="1"/>
    <xf numFmtId="0" fontId="27" fillId="0" borderId="0" xfId="8" applyFont="1" applyFill="1" applyBorder="1" applyAlignment="1">
      <alignment horizontal="center" vertical="center"/>
    </xf>
    <xf numFmtId="0" fontId="27" fillId="0" borderId="0" xfId="8" applyFont="1" applyFill="1" applyBorder="1" applyAlignment="1">
      <alignment horizontal="center" vertical="center" wrapText="1"/>
    </xf>
    <xf numFmtId="2" fontId="11" fillId="0" borderId="0" xfId="8" applyNumberFormat="1" applyFill="1" applyBorder="1" applyAlignment="1">
      <alignment horizontal="center" vertical="center"/>
    </xf>
    <xf numFmtId="2" fontId="11" fillId="0" borderId="0" xfId="8" applyNumberFormat="1" applyFill="1" applyBorder="1" applyAlignment="1">
      <alignment horizontal="right" vertical="center"/>
    </xf>
    <xf numFmtId="0" fontId="11" fillId="0" borderId="0" xfId="8" applyFill="1" applyBorder="1" applyAlignment="1">
      <alignment horizontal="center"/>
    </xf>
    <xf numFmtId="0" fontId="11" fillId="0" borderId="0" xfId="8" applyFont="1" applyFill="1" applyBorder="1" applyAlignment="1">
      <alignment vertical="center" wrapText="1"/>
    </xf>
    <xf numFmtId="0" fontId="11" fillId="0" borderId="0" xfId="8" applyFont="1" applyFill="1" applyBorder="1" applyAlignment="1">
      <alignment vertical="center"/>
    </xf>
    <xf numFmtId="0" fontId="11" fillId="0" borderId="0" xfId="8" applyFont="1" applyFill="1" applyBorder="1" applyAlignment="1">
      <alignment horizontal="center" vertical="center"/>
    </xf>
    <xf numFmtId="2" fontId="1" fillId="0" borderId="0" xfId="8" applyNumberFormat="1" applyFont="1" applyFill="1" applyBorder="1" applyAlignment="1">
      <alignment horizontal="right" vertical="center"/>
    </xf>
    <xf numFmtId="0" fontId="58" fillId="0" borderId="0" xfId="8" applyFont="1" applyFill="1" applyBorder="1" applyAlignment="1"/>
    <xf numFmtId="2" fontId="11" fillId="0" borderId="0" xfId="8" applyNumberFormat="1" applyFill="1" applyBorder="1" applyAlignment="1">
      <alignment vertical="center"/>
    </xf>
    <xf numFmtId="0" fontId="5" fillId="0" borderId="0" xfId="8" applyFont="1" applyFill="1" applyBorder="1"/>
    <xf numFmtId="2" fontId="11" fillId="0" borderId="0" xfId="8" applyNumberFormat="1" applyFill="1" applyBorder="1" applyAlignment="1"/>
    <xf numFmtId="0" fontId="5" fillId="0" borderId="0" xfId="8" applyFont="1" applyFill="1" applyBorder="1" applyAlignment="1"/>
    <xf numFmtId="0" fontId="5" fillId="0" borderId="0" xfId="8" applyFont="1" applyFill="1" applyBorder="1" applyAlignment="1">
      <alignment horizontal="left" wrapText="1"/>
    </xf>
    <xf numFmtId="0" fontId="11" fillId="0" borderId="0" xfId="8" applyFill="1" applyBorder="1" applyAlignment="1">
      <alignment horizontal="center" vertical="center" wrapText="1"/>
    </xf>
    <xf numFmtId="0" fontId="5" fillId="0" borderId="0" xfId="8" applyFont="1" applyFill="1" applyBorder="1" applyAlignment="1">
      <alignment wrapText="1"/>
    </xf>
    <xf numFmtId="0" fontId="11" fillId="0" borderId="0" xfId="8" applyFill="1" applyBorder="1" applyAlignment="1"/>
    <xf numFmtId="0" fontId="11" fillId="0" borderId="0" xfId="8" applyFont="1" applyFill="1" applyBorder="1" applyAlignment="1">
      <alignment horizontal="center" wrapText="1"/>
    </xf>
    <xf numFmtId="2" fontId="1" fillId="0" borderId="0" xfId="8" applyNumberFormat="1" applyFont="1" applyFill="1" applyBorder="1" applyAlignment="1">
      <alignment horizontal="right" wrapText="1"/>
    </xf>
    <xf numFmtId="0" fontId="1" fillId="0" borderId="0" xfId="8" applyFont="1" applyFill="1" applyBorder="1" applyAlignment="1">
      <alignment horizontal="left" wrapText="1"/>
    </xf>
    <xf numFmtId="0" fontId="11" fillId="0" borderId="0" xfId="8" applyBorder="1" applyAlignment="1">
      <alignment horizontal="center" vertical="center" wrapText="1"/>
    </xf>
    <xf numFmtId="2" fontId="11" fillId="0" borderId="0" xfId="8" applyNumberFormat="1" applyBorder="1" applyAlignment="1">
      <alignment horizontal="center"/>
    </xf>
    <xf numFmtId="0" fontId="5" fillId="0" borderId="0" xfId="8" applyFont="1" applyBorder="1" applyAlignment="1">
      <alignment wrapText="1"/>
    </xf>
    <xf numFmtId="0" fontId="5" fillId="0" borderId="0" xfId="8" applyFont="1" applyBorder="1"/>
    <xf numFmtId="0" fontId="5" fillId="0" borderId="0" xfId="8" applyFont="1" applyBorder="1" applyAlignment="1">
      <alignment horizontal="left" wrapText="1"/>
    </xf>
    <xf numFmtId="0" fontId="11" fillId="0" borderId="0" xfId="8" applyBorder="1" applyAlignment="1">
      <alignment horizontal="center"/>
    </xf>
    <xf numFmtId="0" fontId="1" fillId="3" borderId="0" xfId="8" applyFont="1" applyFill="1" applyBorder="1"/>
    <xf numFmtId="2" fontId="1" fillId="3" borderId="0" xfId="8" applyNumberFormat="1" applyFont="1" applyFill="1" applyBorder="1"/>
    <xf numFmtId="0" fontId="11" fillId="0" borderId="0" xfId="8" applyBorder="1" applyAlignment="1">
      <alignment vertical="center" wrapText="1"/>
    </xf>
    <xf numFmtId="0" fontId="5" fillId="0" borderId="0" xfId="8" applyFont="1" applyBorder="1" applyAlignment="1"/>
    <xf numFmtId="0" fontId="5" fillId="0" borderId="0" xfId="8" applyFont="1" applyFill="1" applyBorder="1" applyAlignment="1">
      <alignment horizontal="left"/>
    </xf>
    <xf numFmtId="0" fontId="9" fillId="0" borderId="0" xfId="8" applyFont="1" applyBorder="1" applyAlignment="1"/>
    <xf numFmtId="0" fontId="9" fillId="0" borderId="0" xfId="8" applyFont="1" applyBorder="1" applyAlignment="1">
      <alignment horizontal="left" wrapText="1"/>
    </xf>
    <xf numFmtId="0" fontId="11" fillId="0" borderId="0" xfId="8" applyFont="1" applyBorder="1" applyAlignment="1">
      <alignment horizontal="center" wrapText="1"/>
    </xf>
    <xf numFmtId="0" fontId="11" fillId="0" borderId="0" xfId="8" applyFill="1"/>
    <xf numFmtId="2" fontId="8" fillId="0" borderId="0" xfId="8" applyNumberFormat="1" applyFont="1" applyBorder="1"/>
    <xf numFmtId="2" fontId="38" fillId="2" borderId="0" xfId="0" applyNumberFormat="1" applyFont="1" applyFill="1" applyBorder="1" applyAlignment="1">
      <alignment horizontal="center" vertical="center"/>
    </xf>
    <xf numFmtId="0" fontId="0" fillId="4" borderId="0" xfId="0" applyFill="1"/>
    <xf numFmtId="0" fontId="27" fillId="4" borderId="0" xfId="0" applyFont="1" applyFill="1"/>
    <xf numFmtId="0" fontId="28" fillId="4" borderId="0" xfId="0" applyFont="1" applyFill="1" applyAlignment="1">
      <alignment horizontal="center"/>
    </xf>
    <xf numFmtId="0" fontId="28" fillId="4" borderId="0" xfId="0" applyFont="1" applyFill="1"/>
    <xf numFmtId="0" fontId="1" fillId="4" borderId="3" xfId="0" applyFont="1" applyFill="1" applyBorder="1"/>
    <xf numFmtId="0" fontId="28" fillId="4" borderId="0" xfId="0" applyFont="1" applyFill="1" applyAlignment="1">
      <alignment horizontal="left"/>
    </xf>
    <xf numFmtId="2" fontId="0" fillId="4" borderId="0" xfId="0" applyNumberFormat="1" applyFill="1" applyBorder="1"/>
    <xf numFmtId="0" fontId="13" fillId="4" borderId="0" xfId="0" applyFont="1" applyFill="1"/>
    <xf numFmtId="0" fontId="29" fillId="4" borderId="0" xfId="0" applyFont="1" applyFill="1" applyBorder="1" applyAlignment="1">
      <alignment vertical="center"/>
    </xf>
    <xf numFmtId="0" fontId="29" fillId="4" borderId="1" xfId="0" applyFont="1" applyFill="1" applyBorder="1" applyAlignment="1">
      <alignment horizontal="center" vertical="center"/>
    </xf>
    <xf numFmtId="2" fontId="29" fillId="4" borderId="0" xfId="0" applyNumberFormat="1" applyFont="1" applyFill="1" applyBorder="1" applyAlignment="1">
      <alignment horizontal="center" vertical="center"/>
    </xf>
    <xf numFmtId="0" fontId="0" fillId="4" borderId="1" xfId="0" applyFill="1" applyBorder="1" applyAlignment="1">
      <alignment horizontal="center"/>
    </xf>
    <xf numFmtId="2" fontId="38" fillId="4" borderId="0" xfId="0" applyNumberFormat="1" applyFont="1" applyFill="1" applyBorder="1" applyAlignment="1">
      <alignment horizontal="center" vertical="center"/>
    </xf>
    <xf numFmtId="0" fontId="0" fillId="4" borderId="0" xfId="0" applyFill="1" applyBorder="1"/>
    <xf numFmtId="0" fontId="27" fillId="4" borderId="0" xfId="0" applyFont="1" applyFill="1" applyBorder="1"/>
    <xf numFmtId="0" fontId="13" fillId="4" borderId="0" xfId="0" applyFont="1" applyFill="1" applyBorder="1"/>
    <xf numFmtId="2" fontId="1" fillId="4" borderId="0" xfId="0" applyNumberFormat="1" applyFont="1" applyFill="1" applyBorder="1"/>
    <xf numFmtId="0" fontId="28" fillId="4" borderId="0" xfId="0" applyFont="1" applyFill="1" applyBorder="1"/>
    <xf numFmtId="2" fontId="29" fillId="4" borderId="0" xfId="0" applyNumberFormat="1" applyFont="1" applyFill="1" applyBorder="1" applyAlignment="1">
      <alignment vertical="center"/>
    </xf>
    <xf numFmtId="0" fontId="29" fillId="4" borderId="6" xfId="0" applyFont="1" applyFill="1" applyBorder="1" applyAlignment="1">
      <alignment horizontal="center" vertical="center"/>
    </xf>
    <xf numFmtId="0" fontId="0" fillId="4" borderId="0" xfId="0" applyFill="1" applyBorder="1" applyAlignment="1">
      <alignment horizontal="left"/>
    </xf>
    <xf numFmtId="2" fontId="28" fillId="4" borderId="0" xfId="0" applyNumberFormat="1" applyFont="1" applyFill="1" applyBorder="1" applyAlignment="1">
      <alignment vertical="center"/>
    </xf>
    <xf numFmtId="0" fontId="28" fillId="4" borderId="0" xfId="0" applyFont="1" applyFill="1" applyBorder="1" applyAlignment="1">
      <alignment vertical="center"/>
    </xf>
    <xf numFmtId="0" fontId="32" fillId="4" borderId="0" xfId="0" applyFont="1" applyFill="1" applyBorder="1" applyAlignment="1"/>
    <xf numFmtId="1" fontId="29" fillId="4" borderId="0" xfId="0" applyNumberFormat="1" applyFont="1" applyFill="1" applyBorder="1" applyAlignment="1">
      <alignment horizontal="center" vertical="center"/>
    </xf>
    <xf numFmtId="0" fontId="27" fillId="4" borderId="0" xfId="0" applyFont="1" applyFill="1" applyBorder="1" applyAlignment="1">
      <alignment horizontal="center"/>
    </xf>
    <xf numFmtId="0" fontId="13" fillId="4" borderId="0" xfId="0" applyFont="1" applyFill="1" applyBorder="1" applyAlignment="1"/>
    <xf numFmtId="2" fontId="28" fillId="4" borderId="0" xfId="0" applyNumberFormat="1" applyFont="1" applyFill="1" applyBorder="1" applyAlignment="1">
      <alignment horizontal="right" vertical="center"/>
    </xf>
    <xf numFmtId="0" fontId="13" fillId="4" borderId="0" xfId="0" applyFont="1" applyFill="1" applyBorder="1" applyAlignment="1">
      <alignment horizontal="center"/>
    </xf>
    <xf numFmtId="0" fontId="28" fillId="4" borderId="0" xfId="0" applyFont="1" applyFill="1" applyBorder="1" applyAlignment="1">
      <alignment horizontal="center"/>
    </xf>
    <xf numFmtId="0" fontId="0" fillId="4" borderId="0" xfId="0" applyFill="1" applyBorder="1" applyAlignment="1">
      <alignment horizontal="center"/>
    </xf>
    <xf numFmtId="2" fontId="0" fillId="4" borderId="0" xfId="0" applyNumberFormat="1" applyFill="1" applyBorder="1" applyAlignment="1">
      <alignment horizontal="center"/>
    </xf>
    <xf numFmtId="165" fontId="0" fillId="4" borderId="0" xfId="0" applyNumberFormat="1" applyFill="1" applyBorder="1" applyAlignment="1">
      <alignment horizontal="center"/>
    </xf>
    <xf numFmtId="2" fontId="0" fillId="4" borderId="1" xfId="0" applyNumberFormat="1" applyFill="1" applyBorder="1" applyAlignment="1">
      <alignment horizontal="center"/>
    </xf>
    <xf numFmtId="0" fontId="0" fillId="4" borderId="0" xfId="0" applyFill="1" applyBorder="1" applyAlignment="1">
      <alignment wrapText="1"/>
    </xf>
    <xf numFmtId="0" fontId="30" fillId="4" borderId="0" xfId="0" applyFont="1" applyFill="1" applyBorder="1" applyAlignment="1">
      <alignment horizontal="center" vertical="center"/>
    </xf>
    <xf numFmtId="0" fontId="31" fillId="4" borderId="0" xfId="0" applyFont="1" applyFill="1" applyBorder="1" applyAlignment="1">
      <alignment horizontal="right" vertical="center"/>
    </xf>
    <xf numFmtId="0" fontId="31" fillId="4" borderId="0" xfId="0" applyFont="1" applyFill="1" applyBorder="1" applyAlignment="1">
      <alignment horizontal="left" vertical="center"/>
    </xf>
    <xf numFmtId="2" fontId="30" fillId="4" borderId="0" xfId="0" applyNumberFormat="1" applyFont="1" applyFill="1" applyBorder="1" applyAlignment="1">
      <alignment horizontal="center" vertical="center"/>
    </xf>
    <xf numFmtId="2" fontId="30" fillId="4" borderId="0" xfId="0" applyNumberFormat="1" applyFont="1" applyFill="1" applyBorder="1" applyAlignment="1">
      <alignment horizontal="left" vertical="center"/>
    </xf>
    <xf numFmtId="2" fontId="31" fillId="4" borderId="0" xfId="0" applyNumberFormat="1" applyFont="1" applyFill="1" applyBorder="1" applyAlignment="1">
      <alignment horizontal="right" vertical="center"/>
    </xf>
    <xf numFmtId="0" fontId="28" fillId="4" borderId="0" xfId="0" applyFont="1" applyFill="1" applyBorder="1" applyAlignment="1">
      <alignment horizontal="left"/>
    </xf>
    <xf numFmtId="0" fontId="27" fillId="4" borderId="0" xfId="0" applyFont="1" applyFill="1" applyAlignment="1">
      <alignment horizontal="center"/>
    </xf>
    <xf numFmtId="0" fontId="55" fillId="4" borderId="0" xfId="8" applyFont="1" applyFill="1" applyBorder="1" applyAlignment="1" applyProtection="1">
      <alignment horizontal="center" vertical="center"/>
      <protection locked="0"/>
    </xf>
    <xf numFmtId="0" fontId="56" fillId="4" borderId="0" xfId="3" applyFont="1" applyFill="1" applyAlignment="1" applyProtection="1">
      <alignment vertical="center"/>
      <protection locked="0"/>
    </xf>
    <xf numFmtId="0" fontId="45" fillId="4" borderId="0" xfId="3" applyFill="1"/>
    <xf numFmtId="0" fontId="27" fillId="4" borderId="98" xfId="3" applyFont="1" applyFill="1" applyBorder="1" applyAlignment="1" applyProtection="1">
      <alignment horizontal="center" vertical="center"/>
      <protection locked="0"/>
    </xf>
    <xf numFmtId="0" fontId="27" fillId="4" borderId="23" xfId="3" applyFont="1" applyFill="1" applyBorder="1" applyAlignment="1" applyProtection="1">
      <alignment horizontal="center" vertical="center"/>
      <protection locked="0"/>
    </xf>
    <xf numFmtId="0" fontId="27" fillId="4" borderId="25" xfId="3" applyFont="1" applyFill="1" applyBorder="1" applyAlignment="1" applyProtection="1">
      <alignment horizontal="center" vertical="center" wrapText="1"/>
      <protection locked="0"/>
    </xf>
    <xf numFmtId="43" fontId="13" fillId="4" borderId="110" xfId="5" applyFont="1" applyFill="1" applyBorder="1" applyAlignment="1" applyProtection="1">
      <alignment horizontal="right" vertical="center"/>
      <protection locked="0"/>
    </xf>
    <xf numFmtId="43" fontId="13" fillId="4" borderId="109" xfId="5" applyFont="1" applyFill="1" applyBorder="1" applyAlignment="1" applyProtection="1">
      <alignment horizontal="right" vertical="center"/>
      <protection locked="0"/>
    </xf>
    <xf numFmtId="43" fontId="13" fillId="4" borderId="44" xfId="5" applyFont="1" applyFill="1" applyBorder="1" applyAlignment="1" applyProtection="1">
      <alignment horizontal="center" vertical="center"/>
      <protection locked="0"/>
    </xf>
    <xf numFmtId="43" fontId="13" fillId="4" borderId="103" xfId="5" applyFont="1" applyFill="1" applyBorder="1" applyAlignment="1" applyProtection="1">
      <alignment horizontal="right" vertical="center"/>
      <protection locked="0"/>
    </xf>
    <xf numFmtId="43" fontId="13" fillId="4" borderId="53" xfId="5" applyFont="1" applyFill="1" applyBorder="1" applyAlignment="1" applyProtection="1">
      <alignment horizontal="right" vertical="center"/>
      <protection locked="0"/>
    </xf>
    <xf numFmtId="0" fontId="13" fillId="4" borderId="0" xfId="0" applyFont="1" applyFill="1" applyBorder="1" applyAlignment="1">
      <alignment horizontal="center" vertical="center"/>
    </xf>
    <xf numFmtId="0" fontId="0" fillId="4" borderId="0" xfId="0" applyFill="1" applyAlignment="1">
      <alignment horizontal="left" wrapText="1"/>
    </xf>
    <xf numFmtId="43" fontId="13" fillId="4" borderId="50" xfId="5" applyFont="1" applyFill="1" applyBorder="1" applyAlignment="1" applyProtection="1">
      <alignment horizontal="center" vertical="center"/>
      <protection locked="0"/>
    </xf>
    <xf numFmtId="0" fontId="27" fillId="4" borderId="0" xfId="0" applyFont="1" applyFill="1" applyAlignment="1">
      <alignment horizontal="center"/>
    </xf>
    <xf numFmtId="0" fontId="13" fillId="4" borderId="49" xfId="3" applyFont="1" applyFill="1" applyBorder="1" applyAlignment="1" applyProtection="1">
      <alignment horizontal="center" vertical="center"/>
      <protection locked="0"/>
    </xf>
    <xf numFmtId="0" fontId="27" fillId="4" borderId="23" xfId="3" applyFont="1" applyFill="1" applyBorder="1" applyAlignment="1" applyProtection="1">
      <alignment horizontal="center" vertical="center" wrapText="1"/>
      <protection locked="0"/>
    </xf>
    <xf numFmtId="0" fontId="52" fillId="0" borderId="1" xfId="0" applyFont="1" applyFill="1" applyBorder="1" applyAlignment="1" applyProtection="1">
      <alignment horizontal="left" vertical="center" wrapText="1"/>
    </xf>
    <xf numFmtId="4" fontId="52" fillId="8" borderId="0" xfId="0" applyNumberFormat="1" applyFont="1" applyFill="1" applyBorder="1" applyAlignment="1" applyProtection="1">
      <alignment horizontal="left" vertical="center" wrapText="1"/>
      <protection locked="0"/>
    </xf>
    <xf numFmtId="0" fontId="52" fillId="8" borderId="6" xfId="0" applyFont="1" applyFill="1" applyBorder="1" applyAlignment="1" applyProtection="1">
      <alignment horizontal="center" vertical="center"/>
      <protection locked="0"/>
    </xf>
    <xf numFmtId="0" fontId="53" fillId="8" borderId="91" xfId="0" applyFont="1" applyFill="1" applyBorder="1" applyAlignment="1" applyProtection="1">
      <alignment horizontal="left" vertical="center" wrapText="1"/>
      <protection locked="0"/>
    </xf>
    <xf numFmtId="0" fontId="53" fillId="8" borderId="91" xfId="0" applyFont="1" applyFill="1" applyBorder="1" applyAlignment="1" applyProtection="1">
      <alignment vertical="center" wrapText="1"/>
      <protection locked="0"/>
    </xf>
    <xf numFmtId="0" fontId="53" fillId="8" borderId="91" xfId="0" applyFont="1" applyFill="1" applyBorder="1" applyAlignment="1" applyProtection="1">
      <alignment horizontal="center" vertical="center" wrapText="1"/>
      <protection locked="0"/>
    </xf>
    <xf numFmtId="164" fontId="53" fillId="8" borderId="91" xfId="0" applyNumberFormat="1" applyFont="1" applyFill="1" applyBorder="1" applyAlignment="1" applyProtection="1">
      <alignment vertical="center" wrapText="1"/>
      <protection locked="0"/>
    </xf>
    <xf numFmtId="49" fontId="53" fillId="8" borderId="91" xfId="0" applyNumberFormat="1" applyFont="1" applyFill="1" applyBorder="1" applyAlignment="1" applyProtection="1">
      <alignment horizontal="left" vertical="center" wrapText="1"/>
      <protection locked="0"/>
    </xf>
    <xf numFmtId="0" fontId="0" fillId="0" borderId="5" xfId="0" applyBorder="1"/>
    <xf numFmtId="0" fontId="52" fillId="0" borderId="1" xfId="6" applyNumberFormat="1" applyFont="1" applyBorder="1" applyAlignment="1">
      <alignment horizontal="center" vertical="center"/>
    </xf>
    <xf numFmtId="0" fontId="52" fillId="0" borderId="1" xfId="0" applyFont="1" applyBorder="1" applyAlignment="1">
      <alignment vertical="center" wrapText="1"/>
    </xf>
    <xf numFmtId="0" fontId="52" fillId="0" borderId="1" xfId="0" applyFont="1" applyBorder="1" applyAlignment="1">
      <alignment horizontal="center" vertical="center"/>
    </xf>
    <xf numFmtId="14" fontId="52" fillId="0" borderId="3" xfId="0" applyNumberFormat="1" applyFont="1" applyBorder="1" applyAlignment="1">
      <alignment horizontal="center" vertical="center"/>
    </xf>
    <xf numFmtId="0" fontId="52" fillId="0" borderId="4" xfId="0" applyFont="1" applyBorder="1" applyAlignment="1">
      <alignment horizontal="right" vertical="center"/>
    </xf>
    <xf numFmtId="0" fontId="52" fillId="0" borderId="1" xfId="0" applyFont="1" applyBorder="1" applyAlignment="1">
      <alignment horizontal="centerContinuous" vertical="center"/>
    </xf>
    <xf numFmtId="4" fontId="52" fillId="8" borderId="0" xfId="0" applyNumberFormat="1" applyFont="1" applyFill="1" applyBorder="1" applyAlignment="1" applyProtection="1">
      <alignment vertical="center" wrapText="1"/>
      <protection locked="0"/>
    </xf>
    <xf numFmtId="17" fontId="52" fillId="8" borderId="1" xfId="0" applyNumberFormat="1" applyFont="1" applyFill="1" applyBorder="1" applyAlignment="1" applyProtection="1">
      <alignment horizontal="center" vertical="center"/>
      <protection locked="0"/>
    </xf>
    <xf numFmtId="170" fontId="52" fillId="0" borderId="4" xfId="0" applyNumberFormat="1" applyFont="1" applyBorder="1" applyAlignment="1">
      <alignment vertical="center"/>
    </xf>
    <xf numFmtId="0" fontId="53" fillId="0" borderId="1" xfId="0" applyFont="1" applyFill="1" applyBorder="1" applyAlignment="1">
      <alignment vertical="center"/>
    </xf>
    <xf numFmtId="0" fontId="53" fillId="0" borderId="1" xfId="0" applyFont="1" applyFill="1" applyBorder="1" applyAlignment="1">
      <alignment horizontal="center" vertical="center"/>
    </xf>
    <xf numFmtId="14" fontId="53" fillId="0" borderId="1" xfId="0" applyNumberFormat="1" applyFont="1" applyFill="1" applyBorder="1" applyAlignment="1">
      <alignment horizontal="center" vertical="center"/>
    </xf>
    <xf numFmtId="0" fontId="37" fillId="0" borderId="111" xfId="0" applyFont="1" applyBorder="1" applyAlignment="1">
      <alignment vertical="center"/>
    </xf>
    <xf numFmtId="0" fontId="37" fillId="0" borderId="0" xfId="0" applyFont="1" applyBorder="1" applyAlignment="1">
      <alignment vertical="center"/>
    </xf>
    <xf numFmtId="0" fontId="35" fillId="0" borderId="0" xfId="0" applyFont="1" applyBorder="1" applyAlignment="1">
      <alignment vertical="center"/>
    </xf>
    <xf numFmtId="0" fontId="35" fillId="0" borderId="112" xfId="0" applyFont="1" applyBorder="1" applyAlignment="1">
      <alignment vertical="center"/>
    </xf>
    <xf numFmtId="0" fontId="0" fillId="0" borderId="0" xfId="0" applyAlignment="1">
      <alignment vertical="center"/>
    </xf>
    <xf numFmtId="0" fontId="37" fillId="0" borderId="10" xfId="0" applyFont="1" applyBorder="1" applyAlignment="1">
      <alignment vertical="center"/>
    </xf>
    <xf numFmtId="0" fontId="37" fillId="0" borderId="11" xfId="0" applyFont="1" applyBorder="1" applyAlignment="1">
      <alignment vertical="center"/>
    </xf>
    <xf numFmtId="0" fontId="35" fillId="0" borderId="11" xfId="0" applyFont="1" applyBorder="1" applyAlignment="1">
      <alignment vertical="center"/>
    </xf>
    <xf numFmtId="0" fontId="35" fillId="0" borderId="12" xfId="0" applyFont="1" applyBorder="1" applyAlignment="1">
      <alignment vertical="center"/>
    </xf>
    <xf numFmtId="0" fontId="59" fillId="8" borderId="10" xfId="0" applyFont="1" applyFill="1" applyBorder="1" applyAlignment="1" applyProtection="1">
      <alignment horizontal="left" vertical="center" wrapText="1"/>
      <protection locked="0"/>
    </xf>
    <xf numFmtId="0" fontId="59" fillId="8" borderId="11" xfId="0" applyFont="1" applyFill="1" applyBorder="1" applyAlignment="1" applyProtection="1">
      <alignment vertical="center" wrapText="1"/>
      <protection locked="0"/>
    </xf>
    <xf numFmtId="0" fontId="59" fillId="8" borderId="11" xfId="0" applyFont="1" applyFill="1" applyBorder="1" applyAlignment="1" applyProtection="1">
      <alignment horizontal="center" vertical="center" wrapText="1"/>
      <protection locked="0"/>
    </xf>
    <xf numFmtId="169" fontId="59" fillId="8" borderId="11" xfId="0" applyNumberFormat="1" applyFont="1" applyFill="1" applyBorder="1" applyAlignment="1" applyProtection="1">
      <alignment vertical="center" wrapText="1"/>
      <protection locked="0"/>
    </xf>
    <xf numFmtId="14" fontId="59" fillId="8" borderId="11" xfId="0" applyNumberFormat="1" applyFont="1" applyFill="1" applyBorder="1" applyAlignment="1" applyProtection="1">
      <alignment vertical="center" wrapText="1"/>
      <protection locked="0"/>
    </xf>
    <xf numFmtId="164" fontId="53" fillId="8" borderId="12" xfId="0" applyNumberFormat="1" applyFont="1" applyFill="1" applyBorder="1" applyAlignment="1" applyProtection="1">
      <alignment vertical="center"/>
      <protection locked="0"/>
    </xf>
    <xf numFmtId="4" fontId="53" fillId="8" borderId="91" xfId="0" applyNumberFormat="1" applyFont="1" applyFill="1" applyBorder="1" applyAlignment="1" applyProtection="1">
      <alignment vertical="center" wrapText="1"/>
      <protection locked="0"/>
    </xf>
    <xf numFmtId="0" fontId="28" fillId="2" borderId="4" xfId="0" applyFont="1" applyFill="1" applyBorder="1"/>
    <xf numFmtId="43" fontId="27" fillId="2" borderId="3" xfId="5" applyFont="1" applyFill="1" applyBorder="1" applyAlignment="1" applyProtection="1">
      <alignment horizontal="right" vertical="center"/>
      <protection locked="0"/>
    </xf>
    <xf numFmtId="0" fontId="28" fillId="4" borderId="2" xfId="0" applyFont="1" applyFill="1" applyBorder="1" applyAlignment="1">
      <alignment horizontal="center" vertical="center"/>
    </xf>
    <xf numFmtId="2" fontId="38" fillId="4" borderId="2" xfId="0" applyNumberFormat="1" applyFont="1" applyFill="1" applyBorder="1" applyAlignment="1">
      <alignment horizontal="center" vertical="center"/>
    </xf>
    <xf numFmtId="0" fontId="28" fillId="2" borderId="4" xfId="0" applyFont="1" applyFill="1" applyBorder="1" applyAlignment="1">
      <alignment horizontal="left"/>
    </xf>
    <xf numFmtId="2" fontId="0" fillId="4" borderId="2" xfId="0" applyNumberFormat="1" applyFill="1" applyBorder="1" applyAlignment="1">
      <alignment horizontal="center"/>
    </xf>
    <xf numFmtId="4" fontId="21" fillId="0" borderId="44" xfId="3" applyNumberFormat="1" applyFont="1" applyFill="1" applyBorder="1" applyAlignment="1">
      <alignment horizontal="center" vertical="center" wrapText="1"/>
    </xf>
    <xf numFmtId="164" fontId="21" fillId="0" borderId="44" xfId="3" applyNumberFormat="1" applyFont="1" applyFill="1" applyBorder="1" applyAlignment="1">
      <alignment horizontal="center" vertical="center" wrapText="1"/>
    </xf>
    <xf numFmtId="164" fontId="21" fillId="0" borderId="45" xfId="3" applyNumberFormat="1" applyFont="1" applyFill="1" applyBorder="1" applyAlignment="1">
      <alignment horizontal="center" vertical="center" wrapText="1"/>
    </xf>
    <xf numFmtId="0" fontId="32" fillId="0" borderId="0" xfId="3" applyFont="1" applyFill="1"/>
    <xf numFmtId="164" fontId="21" fillId="0" borderId="0" xfId="3" applyNumberFormat="1" applyFont="1" applyFill="1" applyBorder="1" applyAlignment="1">
      <alignment horizontal="center" vertical="center" wrapText="1"/>
    </xf>
    <xf numFmtId="164" fontId="32" fillId="0" borderId="0" xfId="3" applyNumberFormat="1" applyFont="1" applyFill="1"/>
    <xf numFmtId="43" fontId="27" fillId="0" borderId="0" xfId="5" applyFont="1" applyFill="1" applyBorder="1" applyAlignment="1" applyProtection="1">
      <alignment horizontal="right" vertical="center"/>
      <protection locked="0"/>
    </xf>
    <xf numFmtId="4" fontId="21" fillId="0" borderId="53" xfId="3" applyNumberFormat="1" applyFont="1" applyFill="1" applyBorder="1" applyAlignment="1">
      <alignment vertical="center"/>
    </xf>
    <xf numFmtId="43" fontId="13" fillId="4" borderId="44" xfId="5" applyFont="1" applyFill="1" applyBorder="1" applyAlignment="1" applyProtection="1">
      <alignment horizontal="right" vertical="center"/>
      <protection locked="0"/>
    </xf>
    <xf numFmtId="43" fontId="13" fillId="4" borderId="55" xfId="5" applyFont="1" applyFill="1" applyBorder="1" applyAlignment="1" applyProtection="1">
      <alignment horizontal="right" vertical="center"/>
      <protection locked="0"/>
    </xf>
    <xf numFmtId="43" fontId="13" fillId="4" borderId="114" xfId="5" applyFont="1" applyFill="1" applyBorder="1" applyAlignment="1" applyProtection="1">
      <alignment horizontal="right" vertical="center"/>
      <protection locked="0"/>
    </xf>
    <xf numFmtId="0" fontId="27" fillId="4" borderId="0" xfId="3" applyFont="1" applyFill="1" applyBorder="1" applyAlignment="1" applyProtection="1">
      <alignment horizontal="center" vertical="center" wrapText="1"/>
      <protection locked="0"/>
    </xf>
    <xf numFmtId="43" fontId="13" fillId="4" borderId="114" xfId="5" applyFont="1" applyFill="1" applyBorder="1" applyAlignment="1" applyProtection="1">
      <alignment horizontal="center" vertical="center"/>
      <protection locked="0"/>
    </xf>
    <xf numFmtId="43" fontId="13" fillId="4" borderId="115" xfId="5" applyFont="1" applyFill="1" applyBorder="1" applyAlignment="1" applyProtection="1">
      <alignment horizontal="right" vertical="center"/>
      <protection locked="0"/>
    </xf>
    <xf numFmtId="43" fontId="13" fillId="4" borderId="0" xfId="5" applyFont="1" applyFill="1" applyBorder="1" applyAlignment="1" applyProtection="1">
      <alignment horizontal="center" vertical="center"/>
      <protection locked="0"/>
    </xf>
    <xf numFmtId="43" fontId="13" fillId="0" borderId="0" xfId="5" applyFont="1" applyFill="1" applyBorder="1" applyAlignment="1" applyProtection="1">
      <alignment horizontal="right" vertical="center"/>
      <protection locked="0"/>
    </xf>
    <xf numFmtId="0" fontId="13" fillId="4" borderId="0" xfId="3" applyFont="1" applyFill="1" applyBorder="1" applyAlignment="1" applyProtection="1">
      <alignment horizontal="center" vertical="center"/>
      <protection locked="0"/>
    </xf>
    <xf numFmtId="43" fontId="13" fillId="0" borderId="44" xfId="5" applyFont="1" applyFill="1" applyBorder="1" applyAlignment="1" applyProtection="1">
      <alignment vertical="center"/>
      <protection locked="0"/>
    </xf>
    <xf numFmtId="0" fontId="13" fillId="4" borderId="43" xfId="3" applyFont="1" applyFill="1" applyBorder="1" applyAlignment="1" applyProtection="1">
      <alignment horizontal="center" vertical="center"/>
      <protection locked="0"/>
    </xf>
    <xf numFmtId="0" fontId="13" fillId="4" borderId="43" xfId="3" applyFont="1" applyFill="1" applyBorder="1" applyAlignment="1" applyProtection="1">
      <alignment horizontal="center" vertical="center" wrapText="1"/>
      <protection locked="0"/>
    </xf>
    <xf numFmtId="0" fontId="13" fillId="4" borderId="116" xfId="3" applyFont="1" applyFill="1" applyBorder="1" applyAlignment="1" applyProtection="1">
      <alignment horizontal="center" vertical="center"/>
      <protection locked="0"/>
    </xf>
    <xf numFmtId="43" fontId="13" fillId="0" borderId="114" xfId="5" applyFont="1" applyFill="1" applyBorder="1" applyAlignment="1" applyProtection="1">
      <alignment vertical="center"/>
      <protection locked="0"/>
    </xf>
    <xf numFmtId="43" fontId="13" fillId="0" borderId="50" xfId="5" applyFont="1" applyFill="1" applyBorder="1" applyAlignment="1" applyProtection="1">
      <alignment vertical="center"/>
      <protection locked="0"/>
    </xf>
    <xf numFmtId="43" fontId="13" fillId="4" borderId="104" xfId="5" applyFont="1" applyFill="1" applyBorder="1" applyAlignment="1" applyProtection="1">
      <alignment horizontal="right" vertical="center"/>
      <protection locked="0"/>
    </xf>
    <xf numFmtId="164" fontId="39" fillId="0" borderId="71" xfId="3" applyNumberFormat="1" applyFont="1" applyBorder="1" applyAlignment="1">
      <alignment horizontal="center" vertical="center" wrapText="1"/>
    </xf>
    <xf numFmtId="2" fontId="18" fillId="9" borderId="91" xfId="7" applyNumberFormat="1" applyFont="1" applyFill="1" applyBorder="1" applyAlignment="1">
      <alignment vertical="top" wrapText="1"/>
    </xf>
    <xf numFmtId="0" fontId="13" fillId="9" borderId="74" xfId="7" applyFill="1" applyBorder="1"/>
    <xf numFmtId="0" fontId="27" fillId="9" borderId="67" xfId="7" applyFont="1" applyFill="1" applyBorder="1" applyAlignment="1">
      <alignment horizontal="center" vertical="center"/>
    </xf>
    <xf numFmtId="10" fontId="18" fillId="9" borderId="118" xfId="7" applyNumberFormat="1" applyFont="1" applyFill="1" applyBorder="1" applyAlignment="1">
      <alignment vertical="top" wrapText="1"/>
    </xf>
    <xf numFmtId="4" fontId="18" fillId="9" borderId="119" xfId="7" applyNumberFormat="1" applyFont="1" applyFill="1" applyBorder="1" applyAlignment="1">
      <alignment vertical="top" wrapText="1"/>
    </xf>
    <xf numFmtId="10" fontId="14" fillId="9" borderId="67" xfId="7" applyNumberFormat="1" applyFont="1" applyFill="1" applyBorder="1" applyAlignment="1">
      <alignment vertical="top" wrapText="1"/>
    </xf>
    <xf numFmtId="167" fontId="14" fillId="9" borderId="67" xfId="7" applyNumberFormat="1" applyFont="1" applyFill="1" applyBorder="1" applyAlignment="1">
      <alignment vertical="top" wrapText="1"/>
    </xf>
    <xf numFmtId="0" fontId="13" fillId="9" borderId="36" xfId="7" applyFill="1" applyBorder="1" applyAlignment="1">
      <alignment vertical="center"/>
    </xf>
    <xf numFmtId="0" fontId="0" fillId="4" borderId="0" xfId="0" applyFill="1" applyAlignment="1">
      <alignment wrapText="1"/>
    </xf>
    <xf numFmtId="0" fontId="0" fillId="4" borderId="0" xfId="0" applyFill="1" applyAlignment="1">
      <alignment vertical="top" wrapText="1"/>
    </xf>
    <xf numFmtId="0" fontId="59" fillId="8" borderId="91" xfId="0" applyFont="1" applyFill="1" applyBorder="1" applyAlignment="1" applyProtection="1">
      <alignment horizontal="left" vertical="center" wrapText="1"/>
      <protection locked="0"/>
    </xf>
    <xf numFmtId="0" fontId="59" fillId="8" borderId="91" xfId="0" applyFont="1" applyFill="1" applyBorder="1" applyAlignment="1" applyProtection="1">
      <alignment vertical="center" wrapText="1"/>
      <protection locked="0"/>
    </xf>
    <xf numFmtId="0" fontId="59" fillId="8" borderId="91" xfId="0" applyFont="1" applyFill="1" applyBorder="1" applyAlignment="1" applyProtection="1">
      <alignment horizontal="center" vertical="center" wrapText="1"/>
      <protection locked="0"/>
    </xf>
    <xf numFmtId="169" fontId="59" fillId="8" borderId="91" xfId="0" applyNumberFormat="1" applyFont="1" applyFill="1" applyBorder="1" applyAlignment="1" applyProtection="1">
      <alignment vertical="center" wrapText="1"/>
      <protection locked="0"/>
    </xf>
    <xf numFmtId="14" fontId="59" fillId="8" borderId="91" xfId="0" applyNumberFormat="1" applyFont="1" applyFill="1" applyBorder="1" applyAlignment="1" applyProtection="1">
      <alignment vertical="center" wrapText="1"/>
      <protection locked="0"/>
    </xf>
    <xf numFmtId="164" fontId="59" fillId="8" borderId="91" xfId="0" applyNumberFormat="1" applyFont="1" applyFill="1" applyBorder="1" applyAlignment="1" applyProtection="1">
      <alignment vertical="center"/>
      <protection locked="0"/>
    </xf>
    <xf numFmtId="0" fontId="48" fillId="0" borderId="33" xfId="3" applyFont="1" applyFill="1" applyBorder="1" applyAlignment="1">
      <alignment horizontal="center" vertical="distributed"/>
    </xf>
    <xf numFmtId="0" fontId="48" fillId="0" borderId="32" xfId="3" applyFont="1" applyFill="1" applyBorder="1" applyAlignment="1">
      <alignment horizontal="center" vertical="distributed"/>
    </xf>
    <xf numFmtId="43" fontId="13" fillId="0" borderId="55" xfId="5" applyFont="1" applyFill="1" applyBorder="1" applyAlignment="1" applyProtection="1">
      <alignment horizontal="center" vertical="center"/>
      <protection locked="0"/>
    </xf>
    <xf numFmtId="43" fontId="13" fillId="0" borderId="106" xfId="5" applyFont="1" applyFill="1" applyBorder="1" applyAlignment="1" applyProtection="1">
      <alignment horizontal="center" vertical="center"/>
      <protection locked="0"/>
    </xf>
    <xf numFmtId="43" fontId="13" fillId="0" borderId="50" xfId="5" applyFont="1" applyFill="1" applyBorder="1" applyAlignment="1" applyProtection="1">
      <alignment horizontal="center" vertical="center"/>
      <protection locked="0"/>
    </xf>
    <xf numFmtId="0" fontId="13" fillId="7" borderId="102" xfId="3" applyFont="1" applyFill="1" applyBorder="1" applyAlignment="1" applyProtection="1">
      <alignment horizontal="center" vertical="center" wrapText="1"/>
      <protection locked="0"/>
    </xf>
    <xf numFmtId="0" fontId="13" fillId="7" borderId="105" xfId="3" applyFont="1" applyFill="1" applyBorder="1" applyAlignment="1" applyProtection="1">
      <alignment horizontal="center" vertical="center" wrapText="1"/>
      <protection locked="0"/>
    </xf>
    <xf numFmtId="0" fontId="13" fillId="7" borderId="49" xfId="3" applyFont="1" applyFill="1" applyBorder="1" applyAlignment="1" applyProtection="1">
      <alignment horizontal="center" vertical="center" wrapText="1"/>
      <protection locked="0"/>
    </xf>
    <xf numFmtId="0" fontId="13" fillId="7" borderId="102" xfId="3" applyFont="1" applyFill="1" applyBorder="1" applyAlignment="1" applyProtection="1">
      <alignment horizontal="center" vertical="center"/>
      <protection locked="0"/>
    </xf>
    <xf numFmtId="0" fontId="13" fillId="7" borderId="105" xfId="3" applyFont="1" applyFill="1" applyBorder="1" applyAlignment="1" applyProtection="1">
      <alignment horizontal="center" vertical="center"/>
      <protection locked="0"/>
    </xf>
    <xf numFmtId="0" fontId="13" fillId="7" borderId="49" xfId="3" applyFont="1" applyFill="1" applyBorder="1" applyAlignment="1" applyProtection="1">
      <alignment horizontal="center" vertical="center"/>
      <protection locked="0"/>
    </xf>
    <xf numFmtId="43" fontId="13" fillId="0" borderId="56" xfId="5" applyFont="1" applyFill="1" applyBorder="1" applyAlignment="1" applyProtection="1">
      <alignment horizontal="center" vertical="center"/>
      <protection locked="0"/>
    </xf>
    <xf numFmtId="43" fontId="13" fillId="0" borderId="107" xfId="5" applyFont="1" applyFill="1" applyBorder="1" applyAlignment="1" applyProtection="1">
      <alignment horizontal="center" vertical="center"/>
      <protection locked="0"/>
    </xf>
    <xf numFmtId="0" fontId="55" fillId="0" borderId="17" xfId="3" applyFont="1" applyFill="1" applyBorder="1" applyAlignment="1" applyProtection="1">
      <alignment horizontal="center" vertical="center"/>
      <protection locked="0"/>
    </xf>
    <xf numFmtId="0" fontId="55" fillId="0" borderId="18" xfId="3" applyFont="1" applyFill="1" applyBorder="1" applyAlignment="1" applyProtection="1">
      <alignment horizontal="center" vertical="center"/>
      <protection locked="0"/>
    </xf>
    <xf numFmtId="0" fontId="55" fillId="0" borderId="19" xfId="3" applyFont="1" applyFill="1" applyBorder="1" applyAlignment="1" applyProtection="1">
      <alignment horizontal="center" vertical="center"/>
      <protection locked="0"/>
    </xf>
    <xf numFmtId="0" fontId="27" fillId="0" borderId="101" xfId="3" applyFont="1" applyFill="1" applyBorder="1" applyAlignment="1" applyProtection="1">
      <alignment horizontal="center" vertical="center" wrapText="1"/>
      <protection locked="0"/>
    </xf>
    <xf numFmtId="0" fontId="27" fillId="0" borderId="15" xfId="3" applyFont="1" applyFill="1" applyBorder="1" applyAlignment="1" applyProtection="1">
      <alignment horizontal="center" vertical="center" wrapText="1"/>
      <protection locked="0"/>
    </xf>
    <xf numFmtId="43" fontId="13" fillId="0" borderId="52" xfId="5" applyFont="1" applyFill="1" applyBorder="1" applyAlignment="1" applyProtection="1">
      <alignment horizontal="center" vertical="center"/>
      <protection locked="0"/>
    </xf>
    <xf numFmtId="43" fontId="13" fillId="0" borderId="103" xfId="5" applyFont="1" applyFill="1" applyBorder="1" applyAlignment="1" applyProtection="1">
      <alignment horizontal="center" vertical="center"/>
      <protection locked="0"/>
    </xf>
    <xf numFmtId="43" fontId="13" fillId="0" borderId="110" xfId="5" applyFont="1" applyFill="1" applyBorder="1" applyAlignment="1" applyProtection="1">
      <alignment horizontal="center" vertical="center"/>
      <protection locked="0"/>
    </xf>
    <xf numFmtId="43" fontId="13" fillId="0" borderId="109" xfId="5" applyFont="1" applyFill="1" applyBorder="1" applyAlignment="1" applyProtection="1">
      <alignment horizontal="center" vertical="center"/>
      <protection locked="0"/>
    </xf>
    <xf numFmtId="0" fontId="55" fillId="0" borderId="17" xfId="3" applyFont="1" applyFill="1" applyBorder="1" applyAlignment="1">
      <alignment horizontal="center" vertical="center" wrapText="1"/>
    </xf>
    <xf numFmtId="0" fontId="55" fillId="0" borderId="18" xfId="3" applyFont="1" applyFill="1" applyBorder="1" applyAlignment="1">
      <alignment horizontal="center" vertical="center" wrapText="1"/>
    </xf>
    <xf numFmtId="0" fontId="55" fillId="0" borderId="19" xfId="3" applyFont="1" applyFill="1" applyBorder="1" applyAlignment="1">
      <alignment horizontal="center" vertical="center" wrapText="1"/>
    </xf>
    <xf numFmtId="43" fontId="13" fillId="0" borderId="104" xfId="5" applyFont="1" applyFill="1" applyBorder="1" applyAlignment="1" applyProtection="1">
      <alignment horizontal="center" vertical="center"/>
      <protection locked="0"/>
    </xf>
    <xf numFmtId="43" fontId="13" fillId="0" borderId="108" xfId="5" applyFont="1" applyFill="1" applyBorder="1" applyAlignment="1" applyProtection="1">
      <alignment horizontal="center" vertical="center"/>
      <protection locked="0"/>
    </xf>
    <xf numFmtId="43" fontId="13" fillId="0" borderId="72" xfId="5" applyFont="1" applyFill="1" applyBorder="1" applyAlignment="1" applyProtection="1">
      <alignment horizontal="center" vertical="center"/>
      <protection locked="0"/>
    </xf>
    <xf numFmtId="0" fontId="0" fillId="0" borderId="0" xfId="0" applyBorder="1" applyAlignment="1">
      <alignment horizontal="left"/>
    </xf>
    <xf numFmtId="0" fontId="0" fillId="0" borderId="0" xfId="0" applyBorder="1" applyAlignment="1">
      <alignment horizontal="left" vertical="center"/>
    </xf>
    <xf numFmtId="0" fontId="21" fillId="0" borderId="53" xfId="3" applyFont="1" applyFill="1" applyBorder="1" applyAlignment="1">
      <alignment horizontal="left" vertical="center" wrapText="1"/>
    </xf>
    <xf numFmtId="0" fontId="21" fillId="0" borderId="51" xfId="3" applyFont="1" applyFill="1" applyBorder="1" applyAlignment="1">
      <alignment horizontal="left" vertical="center" wrapText="1"/>
    </xf>
    <xf numFmtId="0" fontId="48" fillId="0" borderId="69" xfId="3" applyFont="1" applyFill="1" applyBorder="1" applyAlignment="1">
      <alignment horizontal="left" vertical="distributed"/>
    </xf>
    <xf numFmtId="0" fontId="48" fillId="0" borderId="73" xfId="3" applyFont="1" applyFill="1" applyBorder="1" applyAlignment="1">
      <alignment horizontal="left" vertical="distributed"/>
    </xf>
    <xf numFmtId="0" fontId="45" fillId="0" borderId="17" xfId="3" applyBorder="1" applyAlignment="1">
      <alignment horizontal="center"/>
    </xf>
    <xf numFmtId="0" fontId="45" fillId="0" borderId="19" xfId="3" applyBorder="1" applyAlignment="1">
      <alignment horizontal="center"/>
    </xf>
    <xf numFmtId="0" fontId="27" fillId="0" borderId="64"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7" fillId="0" borderId="74" xfId="3" applyFont="1" applyFill="1" applyBorder="1" applyAlignment="1">
      <alignment horizontal="center" vertical="center" wrapText="1"/>
    </xf>
    <xf numFmtId="164" fontId="27" fillId="7" borderId="0" xfId="3" applyNumberFormat="1" applyFont="1" applyFill="1" applyBorder="1" applyAlignment="1">
      <alignment horizontal="center" vertical="center" wrapText="1"/>
    </xf>
    <xf numFmtId="164" fontId="27" fillId="7" borderId="31" xfId="3" applyNumberFormat="1" applyFont="1" applyFill="1" applyBorder="1" applyAlignment="1">
      <alignment horizontal="center" vertical="center" wrapText="1"/>
    </xf>
    <xf numFmtId="0" fontId="21" fillId="0" borderId="53" xfId="3" applyFont="1" applyBorder="1" applyAlignment="1">
      <alignment horizontal="left" vertical="center" wrapText="1"/>
    </xf>
    <xf numFmtId="0" fontId="21" fillId="0" borderId="51" xfId="3" applyFont="1" applyBorder="1" applyAlignment="1">
      <alignment horizontal="left" vertical="center" wrapText="1"/>
    </xf>
    <xf numFmtId="0" fontId="46" fillId="0" borderId="14" xfId="3" applyFont="1" applyBorder="1" applyAlignment="1">
      <alignment horizontal="center" vertical="distributed"/>
    </xf>
    <xf numFmtId="0" fontId="46" fillId="0" borderId="15" xfId="3" applyFont="1" applyBorder="1" applyAlignment="1">
      <alignment horizontal="center" vertical="distributed"/>
    </xf>
    <xf numFmtId="0" fontId="46" fillId="0" borderId="16" xfId="3" applyFont="1" applyBorder="1" applyAlignment="1">
      <alignment horizontal="center" vertical="distributed"/>
    </xf>
    <xf numFmtId="0" fontId="48" fillId="0" borderId="28" xfId="3" applyFont="1" applyFill="1" applyBorder="1" applyAlignment="1">
      <alignment horizontal="left" vertical="distributed"/>
    </xf>
    <xf numFmtId="0" fontId="48" fillId="0" borderId="7" xfId="3" applyFont="1" applyFill="1" applyBorder="1" applyAlignment="1">
      <alignment horizontal="left" vertical="distributed"/>
    </xf>
    <xf numFmtId="0" fontId="48" fillId="0" borderId="4" xfId="3" applyFont="1" applyFill="1" applyBorder="1" applyAlignment="1">
      <alignment horizontal="left" vertical="distributed"/>
    </xf>
    <xf numFmtId="0" fontId="48" fillId="0" borderId="3" xfId="3" applyFont="1" applyFill="1" applyBorder="1" applyAlignment="1">
      <alignment horizontal="left" vertical="distributed"/>
    </xf>
    <xf numFmtId="0" fontId="48" fillId="0" borderId="29" xfId="3" applyFont="1" applyFill="1" applyBorder="1" applyAlignment="1">
      <alignment horizontal="left" vertical="distributed"/>
    </xf>
    <xf numFmtId="0" fontId="48" fillId="4" borderId="28" xfId="3" applyFont="1" applyFill="1" applyBorder="1" applyAlignment="1">
      <alignment horizontal="left" vertical="distributed"/>
    </xf>
    <xf numFmtId="0" fontId="48" fillId="4" borderId="7" xfId="3" applyFont="1" applyFill="1" applyBorder="1" applyAlignment="1">
      <alignment horizontal="left" vertical="distributed"/>
    </xf>
    <xf numFmtId="0" fontId="48" fillId="4" borderId="4" xfId="3" applyFont="1" applyFill="1" applyBorder="1" applyAlignment="1">
      <alignment horizontal="left" vertical="distributed"/>
    </xf>
    <xf numFmtId="0" fontId="48" fillId="0" borderId="3" xfId="3" applyFont="1" applyFill="1" applyBorder="1" applyAlignment="1">
      <alignment horizontal="center" vertical="distributed"/>
    </xf>
    <xf numFmtId="0" fontId="48" fillId="0" borderId="29" xfId="3" applyFont="1" applyFill="1" applyBorder="1" applyAlignment="1">
      <alignment horizontal="center" vertical="distributed"/>
    </xf>
    <xf numFmtId="0" fontId="27" fillId="7" borderId="87" xfId="3" applyFont="1" applyFill="1" applyBorder="1" applyAlignment="1">
      <alignment horizontal="center" vertical="center"/>
    </xf>
    <xf numFmtId="0" fontId="27" fillId="7" borderId="88" xfId="3" applyFont="1" applyFill="1" applyBorder="1" applyAlignment="1">
      <alignment horizontal="center" vertical="center"/>
    </xf>
    <xf numFmtId="0" fontId="27" fillId="7" borderId="89" xfId="3" applyFont="1" applyFill="1" applyBorder="1" applyAlignment="1">
      <alignment horizontal="center" vertical="center"/>
    </xf>
    <xf numFmtId="0" fontId="27" fillId="7" borderId="57" xfId="3" applyFont="1" applyFill="1" applyBorder="1" applyAlignment="1">
      <alignment horizontal="center" vertical="center"/>
    </xf>
    <xf numFmtId="0" fontId="19" fillId="0" borderId="0" xfId="3" applyFont="1" applyBorder="1" applyAlignment="1">
      <alignment horizontal="center" vertical="center"/>
    </xf>
    <xf numFmtId="0" fontId="28" fillId="0" borderId="17" xfId="3" applyFont="1" applyBorder="1" applyAlignment="1">
      <alignment horizontal="center" vertical="center" wrapText="1"/>
    </xf>
    <xf numFmtId="0" fontId="28" fillId="0" borderId="18" xfId="3" applyFont="1" applyBorder="1" applyAlignment="1">
      <alignment horizontal="center" vertical="center" wrapText="1"/>
    </xf>
    <xf numFmtId="0" fontId="28" fillId="0" borderId="19" xfId="3" applyFont="1" applyBorder="1" applyAlignment="1">
      <alignment horizontal="center" vertical="center" wrapText="1"/>
    </xf>
    <xf numFmtId="0" fontId="51" fillId="0" borderId="15" xfId="3" applyFont="1" applyBorder="1" applyAlignment="1">
      <alignment horizontal="center" vertical="center" wrapText="1"/>
    </xf>
    <xf numFmtId="0" fontId="51" fillId="0" borderId="0" xfId="3" applyFont="1" applyBorder="1" applyAlignment="1">
      <alignment horizontal="center" vertical="center" wrapText="1"/>
    </xf>
    <xf numFmtId="0" fontId="45" fillId="0" borderId="0" xfId="3" applyBorder="1" applyAlignment="1">
      <alignment horizontal="center" vertical="center"/>
    </xf>
    <xf numFmtId="0" fontId="45" fillId="0" borderId="11" xfId="3" applyBorder="1" applyAlignment="1">
      <alignment horizontal="center" vertical="center"/>
    </xf>
    <xf numFmtId="0" fontId="21" fillId="0" borderId="53"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7" fillId="9" borderId="60" xfId="7" applyFont="1" applyFill="1" applyBorder="1" applyAlignment="1">
      <alignment horizontal="center" vertical="center"/>
    </xf>
    <xf numFmtId="0" fontId="27" fillId="9" borderId="62" xfId="7" applyFont="1" applyFill="1" applyBorder="1" applyAlignment="1">
      <alignment horizontal="center" vertical="center"/>
    </xf>
    <xf numFmtId="0" fontId="27" fillId="9" borderId="117" xfId="7" applyFont="1" applyFill="1" applyBorder="1" applyAlignment="1">
      <alignment horizontal="center" vertical="center"/>
    </xf>
    <xf numFmtId="0" fontId="13" fillId="9" borderId="63" xfId="7" applyFill="1" applyBorder="1" applyAlignment="1">
      <alignment horizontal="center" vertical="center" wrapText="1"/>
    </xf>
    <xf numFmtId="0" fontId="13" fillId="9" borderId="95" xfId="7" applyFill="1" applyBorder="1" applyAlignment="1">
      <alignment horizontal="center" vertical="center" wrapText="1"/>
    </xf>
    <xf numFmtId="0" fontId="13" fillId="9" borderId="13" xfId="7" applyFill="1" applyBorder="1" applyAlignment="1">
      <alignment horizontal="left" vertical="center" wrapText="1"/>
    </xf>
    <xf numFmtId="0" fontId="13" fillId="9" borderId="94" xfId="7" applyFill="1" applyBorder="1" applyAlignment="1">
      <alignment horizontal="left" vertical="center" wrapText="1"/>
    </xf>
    <xf numFmtId="0" fontId="27" fillId="9" borderId="28" xfId="7" applyFont="1" applyFill="1" applyBorder="1" applyAlignment="1">
      <alignment horizontal="left" vertical="center"/>
    </xf>
    <xf numFmtId="0" fontId="27" fillId="9" borderId="7" xfId="7" applyFont="1" applyFill="1" applyBorder="1" applyAlignment="1">
      <alignment horizontal="left" vertical="center"/>
    </xf>
    <xf numFmtId="0" fontId="27" fillId="9" borderId="28" xfId="7" applyFont="1" applyFill="1" applyBorder="1" applyAlignment="1">
      <alignment horizontal="left" vertical="center" wrapText="1"/>
    </xf>
    <xf numFmtId="0" fontId="27" fillId="9" borderId="7" xfId="7" applyFont="1" applyFill="1" applyBorder="1" applyAlignment="1">
      <alignment horizontal="left" vertical="center" wrapText="1"/>
    </xf>
    <xf numFmtId="0" fontId="27" fillId="9" borderId="3" xfId="7" applyFont="1" applyFill="1" applyBorder="1" applyAlignment="1">
      <alignment horizontal="left" vertical="center" wrapText="1"/>
    </xf>
    <xf numFmtId="0" fontId="27" fillId="9" borderId="4" xfId="7" applyFont="1" applyFill="1" applyBorder="1" applyAlignment="1">
      <alignment horizontal="left" vertical="center" wrapText="1"/>
    </xf>
    <xf numFmtId="0" fontId="27" fillId="9" borderId="3" xfId="7" applyFont="1" applyFill="1" applyBorder="1" applyAlignment="1">
      <alignment horizontal="left" vertical="center"/>
    </xf>
    <xf numFmtId="0" fontId="27" fillId="9" borderId="29" xfId="7" applyFont="1" applyFill="1" applyBorder="1" applyAlignment="1">
      <alignment horizontal="left" vertical="center"/>
    </xf>
    <xf numFmtId="0" fontId="13" fillId="0" borderId="3" xfId="7" applyFont="1" applyBorder="1" applyAlignment="1">
      <alignment horizontal="left" vertical="center" wrapText="1"/>
    </xf>
    <xf numFmtId="0" fontId="13" fillId="0" borderId="29" xfId="7" applyFont="1" applyBorder="1" applyAlignment="1">
      <alignment horizontal="left" vertical="center" wrapText="1"/>
    </xf>
    <xf numFmtId="0" fontId="13" fillId="9" borderId="66" xfId="7" applyFill="1" applyBorder="1" applyAlignment="1">
      <alignment horizontal="center" vertical="center" wrapText="1"/>
    </xf>
    <xf numFmtId="0" fontId="13" fillId="9" borderId="2" xfId="7" applyFill="1" applyBorder="1" applyAlignment="1">
      <alignment horizontal="left" vertical="center" wrapText="1"/>
    </xf>
    <xf numFmtId="0" fontId="13" fillId="0" borderId="8" xfId="7" applyFont="1" applyBorder="1" applyAlignment="1">
      <alignment horizontal="center" vertical="center" wrapText="1"/>
    </xf>
    <xf numFmtId="0" fontId="13" fillId="0" borderId="31" xfId="7" applyFont="1" applyBorder="1" applyAlignment="1">
      <alignment horizontal="center" vertical="center" wrapText="1"/>
    </xf>
    <xf numFmtId="0" fontId="27" fillId="9" borderId="26" xfId="7" applyFont="1" applyFill="1" applyBorder="1" applyAlignment="1">
      <alignment horizontal="center" vertical="center" wrapText="1"/>
    </xf>
    <xf numFmtId="0" fontId="27" fillId="9" borderId="9" xfId="7" applyFont="1" applyFill="1" applyBorder="1" applyAlignment="1">
      <alignment horizontal="center" vertical="center" wrapText="1"/>
    </xf>
    <xf numFmtId="0" fontId="27" fillId="9" borderId="97" xfId="7" applyFont="1" applyFill="1" applyBorder="1" applyAlignment="1">
      <alignment horizontal="center" vertical="center" wrapText="1"/>
    </xf>
    <xf numFmtId="0" fontId="27" fillId="9" borderId="12" xfId="7" applyFont="1" applyFill="1" applyBorder="1" applyAlignment="1">
      <alignment horizontal="center" vertical="center" wrapText="1"/>
    </xf>
    <xf numFmtId="0" fontId="27" fillId="9" borderId="0" xfId="7" applyFont="1" applyFill="1" applyBorder="1" applyAlignment="1">
      <alignment horizontal="center" wrapText="1"/>
    </xf>
    <xf numFmtId="0" fontId="0" fillId="4" borderId="0" xfId="0" applyFill="1" applyAlignment="1">
      <alignment horizontal="left" vertical="top" wrapText="1"/>
    </xf>
    <xf numFmtId="0" fontId="55" fillId="4" borderId="14" xfId="3" applyFont="1" applyFill="1" applyBorder="1" applyAlignment="1" applyProtection="1">
      <alignment horizontal="center" vertical="center"/>
      <protection locked="0"/>
    </xf>
    <xf numFmtId="0" fontId="55" fillId="4" borderId="15" xfId="3" applyFont="1" applyFill="1" applyBorder="1" applyAlignment="1" applyProtection="1">
      <alignment horizontal="center" vertical="center"/>
      <protection locked="0"/>
    </xf>
    <xf numFmtId="0" fontId="55" fillId="4" borderId="16" xfId="3" applyFont="1" applyFill="1" applyBorder="1" applyAlignment="1" applyProtection="1">
      <alignment horizontal="center" vertical="center"/>
      <protection locked="0"/>
    </xf>
    <xf numFmtId="43" fontId="13" fillId="4" borderId="0" xfId="5" applyFont="1" applyFill="1" applyBorder="1" applyAlignment="1" applyProtection="1">
      <alignment horizontal="center" vertical="center"/>
      <protection locked="0"/>
    </xf>
    <xf numFmtId="43" fontId="13" fillId="4" borderId="104" xfId="5" applyFont="1" applyFill="1" applyBorder="1" applyAlignment="1" applyProtection="1">
      <alignment horizontal="center" vertical="center"/>
      <protection locked="0"/>
    </xf>
    <xf numFmtId="43" fontId="13" fillId="4" borderId="108" xfId="5" applyFont="1" applyFill="1" applyBorder="1" applyAlignment="1" applyProtection="1">
      <alignment horizontal="center" vertical="center"/>
      <protection locked="0"/>
    </xf>
    <xf numFmtId="43" fontId="13" fillId="4" borderId="48" xfId="5" applyFont="1" applyFill="1" applyBorder="1" applyAlignment="1" applyProtection="1">
      <alignment horizontal="center" vertical="center"/>
      <protection locked="0"/>
    </xf>
    <xf numFmtId="0" fontId="13" fillId="4" borderId="102" xfId="3" applyFont="1" applyFill="1" applyBorder="1" applyAlignment="1" applyProtection="1">
      <alignment horizontal="center" vertical="center"/>
      <protection locked="0"/>
    </xf>
    <xf numFmtId="0" fontId="13" fillId="4" borderId="105" xfId="3" applyFont="1" applyFill="1" applyBorder="1" applyAlignment="1" applyProtection="1">
      <alignment horizontal="center" vertical="center"/>
      <protection locked="0"/>
    </xf>
    <xf numFmtId="0" fontId="13" fillId="4" borderId="46" xfId="3" applyFont="1" applyFill="1" applyBorder="1" applyAlignment="1" applyProtection="1">
      <alignment horizontal="center" vertical="center"/>
      <protection locked="0"/>
    </xf>
    <xf numFmtId="43" fontId="13" fillId="4" borderId="55" xfId="5" applyFont="1" applyFill="1" applyBorder="1" applyAlignment="1" applyProtection="1">
      <alignment horizontal="center" vertical="center"/>
      <protection locked="0"/>
    </xf>
    <xf numFmtId="43" fontId="13" fillId="4" borderId="106" xfId="5" applyFont="1" applyFill="1" applyBorder="1" applyAlignment="1" applyProtection="1">
      <alignment horizontal="center" vertical="center"/>
      <protection locked="0"/>
    </xf>
    <xf numFmtId="43" fontId="13" fillId="4" borderId="47" xfId="5" applyFont="1" applyFill="1" applyBorder="1" applyAlignment="1" applyProtection="1">
      <alignment horizontal="center" vertical="center"/>
      <protection locked="0"/>
    </xf>
    <xf numFmtId="0" fontId="13" fillId="4" borderId="49" xfId="3" applyFont="1" applyFill="1" applyBorder="1" applyAlignment="1" applyProtection="1">
      <alignment horizontal="center" vertical="center"/>
      <protection locked="0"/>
    </xf>
    <xf numFmtId="0" fontId="55" fillId="4" borderId="17" xfId="3" applyFont="1" applyFill="1" applyBorder="1" applyAlignment="1">
      <alignment horizontal="center" vertical="center" wrapText="1"/>
    </xf>
    <xf numFmtId="0" fontId="55" fillId="4" borderId="18" xfId="3" applyFont="1" applyFill="1" applyBorder="1" applyAlignment="1">
      <alignment horizontal="center" vertical="center" wrapText="1"/>
    </xf>
    <xf numFmtId="0" fontId="55" fillId="4" borderId="19" xfId="3" applyFont="1" applyFill="1" applyBorder="1" applyAlignment="1">
      <alignment horizontal="center" vertical="center" wrapText="1"/>
    </xf>
    <xf numFmtId="0" fontId="13" fillId="4" borderId="102" xfId="3" applyFont="1" applyFill="1" applyBorder="1" applyAlignment="1" applyProtection="1">
      <alignment horizontal="center" vertical="center" wrapText="1"/>
      <protection locked="0"/>
    </xf>
    <xf numFmtId="0" fontId="13" fillId="4" borderId="105" xfId="3" applyFont="1" applyFill="1" applyBorder="1" applyAlignment="1" applyProtection="1">
      <alignment horizontal="center" vertical="center" wrapText="1"/>
      <protection locked="0"/>
    </xf>
    <xf numFmtId="0" fontId="13" fillId="4" borderId="49" xfId="3" applyFont="1" applyFill="1" applyBorder="1" applyAlignment="1" applyProtection="1">
      <alignment horizontal="center" vertical="center" wrapText="1"/>
      <protection locked="0"/>
    </xf>
    <xf numFmtId="43" fontId="13" fillId="4" borderId="56" xfId="5" applyFont="1" applyFill="1" applyBorder="1" applyAlignment="1" applyProtection="1">
      <alignment horizontal="center" vertical="center"/>
      <protection locked="0"/>
    </xf>
    <xf numFmtId="43" fontId="13" fillId="4" borderId="107" xfId="5" applyFont="1" applyFill="1" applyBorder="1" applyAlignment="1" applyProtection="1">
      <alignment horizontal="center" vertical="center"/>
      <protection locked="0"/>
    </xf>
    <xf numFmtId="43" fontId="13" fillId="4" borderId="52" xfId="5" applyFont="1" applyFill="1" applyBorder="1" applyAlignment="1" applyProtection="1">
      <alignment horizontal="center" vertical="center"/>
      <protection locked="0"/>
    </xf>
    <xf numFmtId="43" fontId="13" fillId="4" borderId="50" xfId="5" applyFont="1" applyFill="1" applyBorder="1" applyAlignment="1" applyProtection="1">
      <alignment horizontal="center" vertical="center"/>
      <protection locked="0"/>
    </xf>
    <xf numFmtId="43" fontId="13" fillId="4" borderId="72" xfId="5" applyFont="1" applyFill="1" applyBorder="1" applyAlignment="1" applyProtection="1">
      <alignment horizontal="center" vertical="center"/>
      <protection locked="0"/>
    </xf>
    <xf numFmtId="0" fontId="0" fillId="4" borderId="0" xfId="0" applyFill="1" applyAlignment="1">
      <alignment horizontal="center"/>
    </xf>
    <xf numFmtId="0" fontId="27" fillId="4" borderId="0" xfId="0" applyFont="1" applyFill="1" applyAlignment="1">
      <alignment horizontal="center"/>
    </xf>
    <xf numFmtId="2" fontId="29" fillId="4" borderId="3" xfId="0" applyNumberFormat="1" applyFont="1" applyFill="1" applyBorder="1" applyAlignment="1">
      <alignment horizontal="center" vertical="center"/>
    </xf>
    <xf numFmtId="2" fontId="29" fillId="4" borderId="7" xfId="0" applyNumberFormat="1" applyFont="1" applyFill="1" applyBorder="1" applyAlignment="1">
      <alignment horizontal="center" vertical="center"/>
    </xf>
    <xf numFmtId="2" fontId="29" fillId="4" borderId="4" xfId="0" applyNumberFormat="1" applyFont="1" applyFill="1" applyBorder="1" applyAlignment="1">
      <alignment horizontal="center" vertical="center"/>
    </xf>
    <xf numFmtId="0" fontId="29" fillId="4" borderId="10" xfId="0" applyFont="1" applyFill="1" applyBorder="1" applyAlignment="1">
      <alignment horizontal="center" vertical="center"/>
    </xf>
    <xf numFmtId="0" fontId="29" fillId="4" borderId="12" xfId="0" applyFont="1" applyFill="1" applyBorder="1" applyAlignment="1">
      <alignment horizontal="center" vertical="center"/>
    </xf>
    <xf numFmtId="0" fontId="0" fillId="4" borderId="3" xfId="0" applyFill="1" applyBorder="1" applyAlignment="1">
      <alignment horizontal="left"/>
    </xf>
    <xf numFmtId="0" fontId="0" fillId="4" borderId="4" xfId="0" applyFill="1" applyBorder="1" applyAlignment="1">
      <alignment horizontal="left"/>
    </xf>
    <xf numFmtId="0" fontId="0" fillId="4" borderId="0" xfId="0" applyFill="1" applyAlignment="1">
      <alignment horizontal="left"/>
    </xf>
    <xf numFmtId="0" fontId="0" fillId="4" borderId="0" xfId="0" applyFill="1" applyAlignment="1">
      <alignment horizontal="left" wrapText="1"/>
    </xf>
    <xf numFmtId="43" fontId="13" fillId="4" borderId="59" xfId="5" applyFont="1" applyFill="1" applyBorder="1" applyAlignment="1" applyProtection="1">
      <alignment horizontal="center" vertical="center"/>
      <protection locked="0"/>
    </xf>
    <xf numFmtId="0" fontId="27" fillId="4" borderId="17" xfId="3" applyFont="1" applyFill="1" applyBorder="1" applyAlignment="1" applyProtection="1">
      <alignment horizontal="center" vertical="center"/>
      <protection locked="0"/>
    </xf>
    <xf numFmtId="0" fontId="27" fillId="4" borderId="18" xfId="3" applyFont="1" applyFill="1" applyBorder="1" applyAlignment="1" applyProtection="1">
      <alignment horizontal="center" vertical="center"/>
      <protection locked="0"/>
    </xf>
    <xf numFmtId="0" fontId="27" fillId="4" borderId="19" xfId="3" applyFont="1" applyFill="1" applyBorder="1" applyAlignment="1" applyProtection="1">
      <alignment horizontal="center" vertical="center"/>
      <protection locked="0"/>
    </xf>
    <xf numFmtId="0" fontId="27" fillId="4" borderId="23" xfId="3" applyFont="1" applyFill="1" applyBorder="1" applyAlignment="1" applyProtection="1">
      <alignment horizontal="center" vertical="center" wrapText="1"/>
      <protection locked="0"/>
    </xf>
    <xf numFmtId="43" fontId="13" fillId="4" borderId="113" xfId="5" applyFont="1" applyFill="1" applyBorder="1" applyAlignment="1" applyProtection="1">
      <alignment horizontal="center" vertical="center"/>
      <protection locked="0"/>
    </xf>
    <xf numFmtId="0" fontId="1" fillId="0" borderId="3" xfId="3" applyFont="1" applyBorder="1" applyAlignment="1">
      <alignment horizontal="center"/>
    </xf>
    <xf numFmtId="0" fontId="1" fillId="0" borderId="7" xfId="3" applyFont="1" applyBorder="1" applyAlignment="1">
      <alignment horizontal="center"/>
    </xf>
    <xf numFmtId="0" fontId="1" fillId="0" borderId="4" xfId="3" applyFont="1" applyBorder="1" applyAlignment="1">
      <alignment horizontal="center"/>
    </xf>
    <xf numFmtId="0" fontId="36" fillId="0" borderId="5"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7" fillId="0" borderId="111" xfId="0" applyFont="1" applyBorder="1" applyAlignment="1">
      <alignment horizontal="left" vertical="center" wrapText="1"/>
    </xf>
    <xf numFmtId="0" fontId="37" fillId="0" borderId="0" xfId="0" applyFont="1" applyBorder="1" applyAlignment="1">
      <alignment horizontal="left" vertical="center" wrapText="1"/>
    </xf>
    <xf numFmtId="0" fontId="37" fillId="0" borderId="112" xfId="0" applyFont="1" applyBorder="1" applyAlignment="1">
      <alignment horizontal="left" vertical="center" wrapText="1"/>
    </xf>
    <xf numFmtId="0" fontId="1" fillId="0" borderId="3"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18" fillId="0" borderId="0" xfId="0" applyFont="1" applyBorder="1" applyAlignment="1">
      <alignment horizontal="center" vertical="center"/>
    </xf>
    <xf numFmtId="0" fontId="12" fillId="0" borderId="28" xfId="0" applyFont="1" applyFill="1" applyBorder="1" applyAlignment="1">
      <alignment horizontal="left" vertical="center"/>
    </xf>
    <xf numFmtId="0" fontId="12" fillId="0" borderId="7" xfId="0" applyFont="1" applyFill="1" applyBorder="1" applyAlignment="1">
      <alignment horizontal="left" vertical="center"/>
    </xf>
    <xf numFmtId="0" fontId="12" fillId="0" borderId="4"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3" xfId="0" applyFont="1" applyFill="1" applyBorder="1" applyAlignment="1">
      <alignment horizontal="center" vertical="center"/>
    </xf>
    <xf numFmtId="164" fontId="12" fillId="0" borderId="9" xfId="0" applyNumberFormat="1" applyFont="1" applyFill="1" applyBorder="1" applyAlignment="1">
      <alignment horizontal="left" vertical="center"/>
    </xf>
    <xf numFmtId="164" fontId="12" fillId="0" borderId="32" xfId="0" applyNumberFormat="1" applyFont="1" applyFill="1" applyBorder="1" applyAlignment="1">
      <alignment horizontal="left" vertical="center"/>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3" fillId="0" borderId="17" xfId="0" applyFont="1" applyBorder="1" applyAlignment="1">
      <alignment horizontal="right" vertical="center" wrapText="1"/>
    </xf>
    <xf numFmtId="0" fontId="23" fillId="0" borderId="18" xfId="0" applyFont="1" applyBorder="1" applyAlignment="1">
      <alignment horizontal="right" vertical="center" wrapText="1"/>
    </xf>
    <xf numFmtId="0" fontId="12" fillId="4" borderId="0" xfId="0" applyFont="1" applyFill="1" applyBorder="1" applyAlignment="1">
      <alignment horizontal="left" vertical="center" wrapText="1"/>
    </xf>
    <xf numFmtId="0" fontId="26" fillId="0" borderId="0" xfId="0" applyFont="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0"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2"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26" xfId="0" applyFont="1" applyFill="1" applyBorder="1" applyAlignment="1">
      <alignment horizontal="left" vertical="center" wrapText="1"/>
    </xf>
    <xf numFmtId="0" fontId="12" fillId="0" borderId="8" xfId="0" applyFont="1" applyFill="1" applyBorder="1" applyAlignment="1">
      <alignment horizontal="left" vertical="center" wrapText="1"/>
    </xf>
    <xf numFmtId="15" fontId="26" fillId="0" borderId="8" xfId="0" applyNumberFormat="1" applyFont="1" applyFill="1" applyBorder="1" applyAlignment="1">
      <alignment horizontal="center" vertical="center"/>
    </xf>
    <xf numFmtId="15" fontId="26" fillId="0" borderId="27" xfId="0" applyNumberFormat="1" applyFont="1" applyFill="1" applyBorder="1" applyAlignment="1">
      <alignment horizontal="center" vertical="center"/>
    </xf>
    <xf numFmtId="164" fontId="41" fillId="0" borderId="3" xfId="0" applyNumberFormat="1" applyFont="1" applyBorder="1" applyAlignment="1">
      <alignment horizontal="center" vertical="center" wrapText="1"/>
    </xf>
    <xf numFmtId="164" fontId="41" fillId="0" borderId="29" xfId="0" applyNumberFormat="1" applyFont="1" applyBorder="1" applyAlignment="1">
      <alignment horizontal="center" vertical="center" wrapText="1"/>
    </xf>
    <xf numFmtId="164" fontId="41" fillId="0" borderId="1" xfId="0" applyNumberFormat="1" applyFont="1" applyBorder="1" applyAlignment="1">
      <alignment horizontal="center" vertical="center" wrapText="1"/>
    </xf>
    <xf numFmtId="164" fontId="41" fillId="0" borderId="67" xfId="0" applyNumberFormat="1"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42" fillId="6" borderId="3" xfId="0" applyFont="1" applyFill="1" applyBorder="1" applyAlignment="1">
      <alignment horizontal="left" vertical="center"/>
    </xf>
    <xf numFmtId="0" fontId="42" fillId="6" borderId="7" xfId="0" applyFont="1" applyFill="1" applyBorder="1" applyAlignment="1">
      <alignment horizontal="left" vertical="center"/>
    </xf>
    <xf numFmtId="0" fontId="42" fillId="6" borderId="4" xfId="0" applyFont="1" applyFill="1" applyBorder="1" applyAlignment="1">
      <alignment horizontal="left" vertical="center"/>
    </xf>
    <xf numFmtId="164" fontId="42" fillId="6" borderId="1" xfId="0" applyNumberFormat="1" applyFont="1" applyFill="1" applyBorder="1" applyAlignment="1">
      <alignment horizontal="center" vertical="center" wrapText="1"/>
    </xf>
    <xf numFmtId="164" fontId="42" fillId="6" borderId="3" xfId="0" applyNumberFormat="1" applyFont="1" applyFill="1" applyBorder="1" applyAlignment="1">
      <alignment horizontal="center" vertical="center" wrapText="1"/>
    </xf>
    <xf numFmtId="0" fontId="35" fillId="0" borderId="3" xfId="0" applyFont="1" applyBorder="1" applyAlignment="1">
      <alignment horizontal="left"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4" fontId="25" fillId="0" borderId="3" xfId="0" applyNumberFormat="1" applyFont="1" applyBorder="1" applyAlignment="1">
      <alignment horizontal="center" vertical="center" wrapText="1"/>
    </xf>
    <xf numFmtId="4" fontId="25" fillId="0" borderId="7"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41" fillId="0" borderId="16" xfId="0" applyFont="1" applyBorder="1" applyAlignment="1">
      <alignment horizontal="left" vertical="center" wrapText="1"/>
    </xf>
    <xf numFmtId="0" fontId="41" fillId="0" borderId="30" xfId="0" applyFont="1" applyBorder="1" applyAlignment="1">
      <alignment horizontal="left" vertical="center" wrapText="1"/>
    </xf>
    <xf numFmtId="0" fontId="41" fillId="0" borderId="31" xfId="0" applyFont="1" applyBorder="1" applyAlignment="1">
      <alignment horizontal="left" vertical="center" wrapText="1"/>
    </xf>
    <xf numFmtId="0" fontId="41" fillId="0" borderId="3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30" xfId="0" applyFont="1" applyBorder="1" applyAlignment="1">
      <alignment vertical="center" wrapText="1"/>
    </xf>
    <xf numFmtId="0" fontId="25" fillId="0" borderId="31" xfId="0" applyFont="1" applyBorder="1" applyAlignment="1">
      <alignment vertical="center" wrapText="1"/>
    </xf>
    <xf numFmtId="0" fontId="25" fillId="0" borderId="36" xfId="0" applyFont="1" applyBorder="1" applyAlignment="1">
      <alignment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77" xfId="0" applyFont="1" applyBorder="1" applyAlignment="1">
      <alignment horizontal="center" vertical="center" wrapText="1"/>
    </xf>
    <xf numFmtId="0" fontId="41" fillId="0" borderId="76" xfId="0" applyFont="1" applyBorder="1" applyAlignment="1">
      <alignment horizontal="center" vertical="center" wrapText="1"/>
    </xf>
    <xf numFmtId="44" fontId="42" fillId="5" borderId="82" xfId="0" applyNumberFormat="1" applyFont="1" applyFill="1" applyBorder="1" applyAlignment="1">
      <alignment horizontal="center" vertical="center" wrapText="1"/>
    </xf>
    <xf numFmtId="44" fontId="42" fillId="5" borderId="84" xfId="0" applyNumberFormat="1" applyFont="1" applyFill="1" applyBorder="1" applyAlignment="1">
      <alignment horizontal="center" vertical="center" wrapText="1"/>
    </xf>
    <xf numFmtId="0" fontId="42" fillId="5" borderId="17" xfId="0" applyFont="1" applyFill="1" applyBorder="1" applyAlignment="1">
      <alignment horizontal="center" wrapText="1"/>
    </xf>
    <xf numFmtId="0" fontId="42" fillId="5" borderId="18" xfId="0" applyFont="1" applyFill="1" applyBorder="1" applyAlignment="1">
      <alignment horizontal="center" wrapText="1"/>
    </xf>
    <xf numFmtId="0" fontId="42" fillId="5" borderId="19" xfId="0" applyFont="1" applyFill="1" applyBorder="1" applyAlignment="1">
      <alignment horizontal="center" wrapText="1"/>
    </xf>
    <xf numFmtId="0" fontId="42" fillId="5" borderId="64" xfId="0" applyFont="1" applyFill="1" applyBorder="1" applyAlignment="1">
      <alignment horizontal="center" vertical="center" wrapText="1"/>
    </xf>
    <xf numFmtId="0" fontId="42" fillId="5" borderId="0" xfId="0" applyFont="1" applyFill="1" applyBorder="1" applyAlignment="1">
      <alignment horizontal="center" vertical="center" wrapText="1"/>
    </xf>
    <xf numFmtId="0" fontId="42" fillId="5" borderId="74" xfId="0" applyFont="1" applyFill="1" applyBorder="1" applyAlignment="1">
      <alignment horizontal="center" vertical="center" wrapText="1"/>
    </xf>
    <xf numFmtId="0" fontId="42" fillId="5" borderId="17" xfId="0" applyFont="1" applyFill="1" applyBorder="1" applyAlignment="1">
      <alignment horizontal="center" vertical="center" wrapText="1"/>
    </xf>
    <xf numFmtId="0" fontId="42" fillId="5" borderId="19"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6" borderId="1" xfId="0" applyFont="1" applyFill="1" applyBorder="1" applyAlignment="1">
      <alignment horizontal="left" vertical="center" wrapText="1"/>
    </xf>
    <xf numFmtId="164" fontId="42" fillId="6" borderId="67" xfId="0" applyNumberFormat="1" applyFont="1" applyFill="1" applyBorder="1" applyAlignment="1">
      <alignment horizontal="center" vertical="center" wrapText="1"/>
    </xf>
    <xf numFmtId="0" fontId="39" fillId="5" borderId="17" xfId="0" applyFont="1" applyFill="1" applyBorder="1" applyAlignment="1">
      <alignment horizontal="center" vertical="top" wrapText="1"/>
    </xf>
    <xf numFmtId="0" fontId="39" fillId="5" borderId="18" xfId="0" applyFont="1" applyFill="1" applyBorder="1" applyAlignment="1">
      <alignment horizontal="center" vertical="top" wrapText="1"/>
    </xf>
    <xf numFmtId="0" fontId="39" fillId="5" borderId="19" xfId="0" applyFont="1" applyFill="1" applyBorder="1" applyAlignment="1">
      <alignment horizontal="center" vertical="top" wrapText="1"/>
    </xf>
    <xf numFmtId="0" fontId="41" fillId="0" borderId="17" xfId="0" applyFont="1" applyBorder="1" applyAlignment="1">
      <alignment horizontal="left" vertical="center" wrapText="1"/>
    </xf>
    <xf numFmtId="0" fontId="41" fillId="0" borderId="18" xfId="0" applyFont="1" applyBorder="1" applyAlignment="1">
      <alignment horizontal="left" vertical="center" wrapText="1"/>
    </xf>
    <xf numFmtId="0" fontId="41" fillId="0" borderId="75" xfId="0" applyFont="1" applyBorder="1" applyAlignment="1">
      <alignment horizontal="left" vertical="center" wrapText="1"/>
    </xf>
    <xf numFmtId="0" fontId="41" fillId="0" borderId="76" xfId="0" applyFont="1" applyBorder="1" applyAlignment="1">
      <alignment vertical="center" wrapText="1"/>
    </xf>
    <xf numFmtId="0" fontId="41" fillId="0" borderId="15" xfId="0" applyFont="1" applyBorder="1" applyAlignment="1">
      <alignment vertical="center" wrapText="1"/>
    </xf>
    <xf numFmtId="0" fontId="41" fillId="0" borderId="77" xfId="0" applyFont="1" applyBorder="1" applyAlignment="1">
      <alignment vertical="center" wrapText="1"/>
    </xf>
    <xf numFmtId="0" fontId="42" fillId="0" borderId="76" xfId="0" applyFont="1" applyBorder="1" applyAlignment="1">
      <alignment vertical="center" wrapText="1"/>
    </xf>
    <xf numFmtId="0" fontId="42" fillId="0" borderId="15" xfId="0" applyFont="1" applyBorder="1" applyAlignment="1">
      <alignment vertical="center" wrapText="1"/>
    </xf>
    <xf numFmtId="0" fontId="41" fillId="0" borderId="14" xfId="0" applyFont="1" applyBorder="1" applyAlignment="1">
      <alignment vertical="center" wrapText="1"/>
    </xf>
    <xf numFmtId="0" fontId="41" fillId="0" borderId="16" xfId="0" applyFont="1" applyBorder="1" applyAlignment="1">
      <alignment vertical="center" wrapText="1"/>
    </xf>
    <xf numFmtId="0" fontId="41" fillId="0" borderId="19" xfId="0" applyFont="1" applyBorder="1" applyAlignment="1">
      <alignment horizontal="left" vertical="center" wrapText="1"/>
    </xf>
    <xf numFmtId="0" fontId="25" fillId="0" borderId="0"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9" xfId="0" applyNumberFormat="1" applyFont="1" applyBorder="1" applyAlignment="1">
      <alignment horizontal="center" vertical="center" wrapText="1"/>
    </xf>
    <xf numFmtId="49" fontId="25" fillId="0" borderId="0" xfId="0" applyNumberFormat="1" applyFont="1" applyBorder="1" applyAlignment="1">
      <alignment horizontal="center" vertical="center" wrapText="1"/>
    </xf>
    <xf numFmtId="49" fontId="41" fillId="0" borderId="30" xfId="0" applyNumberFormat="1" applyFont="1" applyBorder="1" applyAlignment="1">
      <alignment horizontal="center" vertical="center" wrapText="1"/>
    </xf>
    <xf numFmtId="49" fontId="41" fillId="0" borderId="36" xfId="0" applyNumberFormat="1" applyFont="1" applyBorder="1" applyAlignment="1">
      <alignment horizontal="center" vertical="center" wrapText="1"/>
    </xf>
    <xf numFmtId="15" fontId="25" fillId="0" borderId="30" xfId="0" applyNumberFormat="1" applyFont="1" applyBorder="1" applyAlignment="1">
      <alignment horizontal="center" vertical="center" wrapText="1"/>
    </xf>
    <xf numFmtId="15" fontId="25" fillId="0" borderId="36" xfId="0" applyNumberFormat="1" applyFont="1" applyBorder="1" applyAlignment="1">
      <alignment horizontal="center" vertical="center" wrapText="1"/>
    </xf>
    <xf numFmtId="164" fontId="41" fillId="0" borderId="31" xfId="0" applyNumberFormat="1" applyFont="1" applyBorder="1" applyAlignment="1">
      <alignment horizontal="center" vertical="center" wrapText="1"/>
    </xf>
    <xf numFmtId="164" fontId="41" fillId="0" borderId="30" xfId="0" applyNumberFormat="1" applyFont="1" applyBorder="1" applyAlignment="1">
      <alignment horizontal="center" vertical="center" wrapText="1"/>
    </xf>
    <xf numFmtId="164" fontId="41" fillId="0" borderId="80" xfId="0" applyNumberFormat="1" applyFont="1" applyBorder="1" applyAlignment="1">
      <alignment horizontal="center" vertical="center" wrapText="1"/>
    </xf>
    <xf numFmtId="164" fontId="35" fillId="0" borderId="81" xfId="0" applyNumberFormat="1" applyFont="1" applyBorder="1" applyAlignment="1">
      <alignment horizontal="center" vertical="center" wrapText="1"/>
    </xf>
    <xf numFmtId="164" fontId="35" fillId="0" borderId="80" xfId="0" applyNumberFormat="1" applyFont="1" applyBorder="1" applyAlignment="1">
      <alignment horizontal="center" vertical="center" wrapText="1"/>
    </xf>
    <xf numFmtId="0" fontId="42" fillId="5" borderId="82" xfId="0" applyFont="1" applyFill="1" applyBorder="1" applyAlignment="1">
      <alignment horizontal="center" vertical="center" wrapText="1"/>
    </xf>
    <xf numFmtId="0" fontId="42" fillId="5" borderId="83"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8" xfId="0" applyFont="1" applyFill="1" applyBorder="1" applyAlignment="1">
      <alignment horizontal="center" vertical="center" wrapText="1"/>
    </xf>
    <xf numFmtId="164" fontId="25" fillId="0" borderId="3" xfId="0" applyNumberFormat="1" applyFont="1" applyBorder="1" applyAlignment="1">
      <alignment horizontal="center" vertical="center" wrapText="1"/>
    </xf>
    <xf numFmtId="164" fontId="25" fillId="0" borderId="4" xfId="0" applyNumberFormat="1" applyFont="1" applyBorder="1" applyAlignment="1">
      <alignment horizontal="center" vertical="center" wrapText="1"/>
    </xf>
    <xf numFmtId="0" fontId="35" fillId="0" borderId="1" xfId="0" applyFont="1" applyBorder="1" applyAlignment="1">
      <alignment horizontal="left" vertical="center" wrapText="1"/>
    </xf>
    <xf numFmtId="4" fontId="25"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164" fontId="25" fillId="0" borderId="67" xfId="0" applyNumberFormat="1" applyFont="1" applyBorder="1" applyAlignment="1">
      <alignment horizontal="center" vertical="center" wrapText="1"/>
    </xf>
    <xf numFmtId="0" fontId="42" fillId="6" borderId="3" xfId="0" applyFont="1" applyFill="1" applyBorder="1" applyAlignment="1">
      <alignment horizontal="left" vertical="center" wrapText="1"/>
    </xf>
    <xf numFmtId="0" fontId="42" fillId="6" borderId="7" xfId="0" applyFont="1" applyFill="1" applyBorder="1" applyAlignment="1">
      <alignment horizontal="left" vertical="center" wrapText="1"/>
    </xf>
    <xf numFmtId="0" fontId="42" fillId="6" borderId="4" xfId="0" applyFont="1" applyFill="1" applyBorder="1" applyAlignment="1">
      <alignment horizontal="left" vertical="center" wrapText="1"/>
    </xf>
    <xf numFmtId="0" fontId="42" fillId="6" borderId="10" xfId="0" applyFont="1" applyFill="1" applyBorder="1" applyAlignment="1">
      <alignment horizontal="left" vertical="center"/>
    </xf>
    <xf numFmtId="0" fontId="42" fillId="6" borderId="11" xfId="0" applyFont="1" applyFill="1" applyBorder="1" applyAlignment="1">
      <alignment horizontal="left" vertical="center"/>
    </xf>
    <xf numFmtId="0" fontId="42" fillId="6" borderId="12" xfId="0" applyFont="1" applyFill="1" applyBorder="1" applyAlignment="1">
      <alignment horizontal="left" vertical="center"/>
    </xf>
    <xf numFmtId="164" fontId="42" fillId="6" borderId="6" xfId="0" applyNumberFormat="1" applyFont="1" applyFill="1" applyBorder="1" applyAlignment="1">
      <alignment horizontal="center" vertical="center" wrapText="1"/>
    </xf>
    <xf numFmtId="164" fontId="42" fillId="6" borderId="10" xfId="0" applyNumberFormat="1" applyFont="1" applyFill="1" applyBorder="1" applyAlignment="1">
      <alignment horizontal="center" vertical="center" wrapText="1"/>
    </xf>
    <xf numFmtId="164" fontId="42" fillId="6" borderId="65" xfId="0" applyNumberFormat="1" applyFont="1" applyFill="1" applyBorder="1" applyAlignment="1">
      <alignment horizontal="center" vertical="center" wrapText="1"/>
    </xf>
    <xf numFmtId="0" fontId="42" fillId="0" borderId="64" xfId="0" applyFont="1" applyBorder="1" applyAlignment="1">
      <alignment horizontal="left" vertical="center" wrapText="1"/>
    </xf>
    <xf numFmtId="0" fontId="42" fillId="0" borderId="0" xfId="0" applyFont="1" applyBorder="1" applyAlignment="1">
      <alignment horizontal="left" vertical="center" wrapText="1"/>
    </xf>
    <xf numFmtId="0" fontId="42" fillId="0" borderId="74" xfId="0" applyFont="1" applyBorder="1" applyAlignment="1">
      <alignment horizontal="left" vertical="center" wrapText="1"/>
    </xf>
    <xf numFmtId="0" fontId="42" fillId="0" borderId="64" xfId="0" applyFont="1" applyBorder="1" applyAlignment="1">
      <alignment horizontal="left" vertical="center"/>
    </xf>
    <xf numFmtId="0" fontId="42" fillId="0" borderId="0" xfId="0" applyFont="1" applyBorder="1" applyAlignment="1">
      <alignment horizontal="left" vertical="center"/>
    </xf>
    <xf numFmtId="0" fontId="42" fillId="0" borderId="74" xfId="0" applyFont="1" applyBorder="1" applyAlignment="1">
      <alignment horizontal="left" vertical="center"/>
    </xf>
    <xf numFmtId="0" fontId="42" fillId="0" borderId="64" xfId="0" applyFont="1" applyBorder="1" applyAlignment="1">
      <alignment vertical="center" wrapText="1"/>
    </xf>
    <xf numFmtId="0" fontId="42" fillId="0" borderId="0" xfId="0" applyFont="1" applyBorder="1" applyAlignment="1">
      <alignment vertical="center" wrapText="1"/>
    </xf>
    <xf numFmtId="0" fontId="42" fillId="0" borderId="74" xfId="0" applyFont="1" applyBorder="1" applyAlignment="1">
      <alignment vertical="center" wrapText="1"/>
    </xf>
    <xf numFmtId="0" fontId="37" fillId="0" borderId="14" xfId="0" applyFont="1" applyBorder="1" applyAlignment="1">
      <alignment horizontal="center" vertical="top" wrapText="1"/>
    </xf>
    <xf numFmtId="0" fontId="37" fillId="0" borderId="15" xfId="0" applyFont="1" applyBorder="1" applyAlignment="1">
      <alignment horizontal="center" vertical="top" wrapText="1"/>
    </xf>
    <xf numFmtId="0" fontId="37" fillId="0" borderId="16" xfId="0" applyFont="1" applyBorder="1" applyAlignment="1">
      <alignment horizontal="center" vertical="top" wrapText="1"/>
    </xf>
    <xf numFmtId="0" fontId="37" fillId="0" borderId="64" xfId="0" applyFont="1" applyBorder="1" applyAlignment="1">
      <alignment horizontal="center" vertical="top" wrapText="1"/>
    </xf>
    <xf numFmtId="0" fontId="37" fillId="0" borderId="0" xfId="0" applyFont="1" applyBorder="1" applyAlignment="1">
      <alignment horizontal="center" vertical="top" wrapText="1"/>
    </xf>
    <xf numFmtId="0" fontId="37" fillId="0" borderId="74" xfId="0" applyFont="1" applyBorder="1" applyAlignment="1">
      <alignment horizontal="center" vertical="top" wrapText="1"/>
    </xf>
    <xf numFmtId="0" fontId="37" fillId="0" borderId="30" xfId="0" applyFont="1" applyBorder="1" applyAlignment="1">
      <alignment horizontal="center" vertical="top" wrapText="1"/>
    </xf>
    <xf numFmtId="0" fontId="37" fillId="0" borderId="31" xfId="0" applyFont="1" applyBorder="1" applyAlignment="1">
      <alignment horizontal="center" vertical="top" wrapText="1"/>
    </xf>
    <xf numFmtId="0" fontId="37" fillId="0" borderId="36" xfId="0" applyFont="1" applyBorder="1" applyAlignment="1">
      <alignment horizontal="center" vertical="top" wrapText="1"/>
    </xf>
    <xf numFmtId="0" fontId="42" fillId="0" borderId="64"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64" xfId="0" applyFont="1" applyBorder="1" applyAlignment="1">
      <alignment horizontal="center" vertical="top" wrapText="1"/>
    </xf>
    <xf numFmtId="0" fontId="42" fillId="0" borderId="0" xfId="0" applyFont="1" applyBorder="1" applyAlignment="1">
      <alignment horizontal="center" vertical="top" wrapText="1"/>
    </xf>
    <xf numFmtId="0" fontId="42" fillId="0" borderId="74" xfId="0" applyFont="1" applyBorder="1" applyAlignment="1">
      <alignment horizontal="center" vertical="top" wrapText="1"/>
    </xf>
    <xf numFmtId="0" fontId="43" fillId="0" borderId="64" xfId="0" applyFont="1" applyBorder="1" applyAlignment="1">
      <alignment horizontal="center" vertical="top" wrapText="1"/>
    </xf>
    <xf numFmtId="0" fontId="43" fillId="0" borderId="0" xfId="0" applyFont="1" applyBorder="1" applyAlignment="1">
      <alignment horizontal="center" vertical="top" wrapText="1"/>
    </xf>
    <xf numFmtId="0" fontId="43" fillId="0" borderId="74" xfId="0" applyFont="1" applyBorder="1" applyAlignment="1">
      <alignment horizontal="center" vertical="top" wrapText="1"/>
    </xf>
    <xf numFmtId="0" fontId="44" fillId="0" borderId="86"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5" xfId="0" applyFont="1" applyBorder="1" applyAlignment="1">
      <alignment horizontal="center" vertical="center" wrapText="1"/>
    </xf>
    <xf numFmtId="0" fontId="0" fillId="0" borderId="86"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42" fillId="0" borderId="61" xfId="0" applyFont="1" applyBorder="1" applyAlignment="1">
      <alignment horizontal="left" vertical="center" wrapText="1"/>
    </xf>
    <xf numFmtId="0" fontId="42" fillId="0" borderId="30" xfId="0" applyFont="1" applyBorder="1" applyAlignment="1">
      <alignment horizontal="left" vertical="center" wrapText="1"/>
    </xf>
    <xf numFmtId="0" fontId="42" fillId="0" borderId="31" xfId="0" applyFont="1" applyBorder="1" applyAlignment="1">
      <alignment horizontal="left" vertical="center" wrapText="1"/>
    </xf>
    <xf numFmtId="0" fontId="42" fillId="0" borderId="32" xfId="0" applyFont="1" applyBorder="1" applyAlignment="1">
      <alignment horizontal="left" vertical="center" wrapText="1"/>
    </xf>
    <xf numFmtId="0" fontId="42" fillId="0" borderId="15" xfId="0" applyFont="1" applyBorder="1" applyAlignment="1">
      <alignment vertical="top" wrapText="1"/>
    </xf>
    <xf numFmtId="0" fontId="42" fillId="0" borderId="16" xfId="0" applyFont="1" applyBorder="1" applyAlignment="1">
      <alignment vertical="top" wrapText="1"/>
    </xf>
    <xf numFmtId="0" fontId="42" fillId="0" borderId="31" xfId="0" applyFont="1" applyBorder="1" applyAlignment="1">
      <alignment vertical="top" wrapText="1"/>
    </xf>
    <xf numFmtId="0" fontId="42" fillId="0" borderId="36" xfId="0" applyFont="1" applyBorder="1" applyAlignment="1">
      <alignment vertical="top" wrapText="1"/>
    </xf>
    <xf numFmtId="164" fontId="42" fillId="0" borderId="14" xfId="0" applyNumberFormat="1" applyFont="1" applyBorder="1" applyAlignment="1">
      <alignment horizontal="center" vertical="center" wrapText="1"/>
    </xf>
    <xf numFmtId="164" fontId="42" fillId="0" borderId="15" xfId="0" applyNumberFormat="1" applyFont="1" applyBorder="1" applyAlignment="1">
      <alignment horizontal="center" vertical="center" wrapText="1"/>
    </xf>
    <xf numFmtId="164" fontId="42" fillId="0" borderId="30" xfId="0" applyNumberFormat="1" applyFont="1" applyBorder="1" applyAlignment="1">
      <alignment horizontal="center" vertical="center" wrapText="1"/>
    </xf>
    <xf numFmtId="164" fontId="42" fillId="0" borderId="31" xfId="0" applyNumberFormat="1" applyFont="1" applyBorder="1" applyAlignment="1">
      <alignment horizontal="center" vertical="center" wrapText="1"/>
    </xf>
    <xf numFmtId="164" fontId="42" fillId="0" borderId="16" xfId="0" applyNumberFormat="1" applyFont="1" applyBorder="1" applyAlignment="1">
      <alignment horizontal="center" vertical="center" wrapText="1"/>
    </xf>
    <xf numFmtId="164" fontId="42" fillId="0" borderId="36" xfId="0" applyNumberFormat="1" applyFont="1" applyBorder="1" applyAlignment="1">
      <alignment horizontal="center" vertical="center" wrapText="1"/>
    </xf>
    <xf numFmtId="2" fontId="0" fillId="0" borderId="3" xfId="0" applyNumberFormat="1" applyFill="1" applyBorder="1" applyAlignment="1">
      <alignment horizontal="center"/>
    </xf>
    <xf numFmtId="2" fontId="0" fillId="0" borderId="7" xfId="0" applyNumberFormat="1" applyFill="1" applyBorder="1" applyAlignment="1">
      <alignment horizontal="center"/>
    </xf>
    <xf numFmtId="2" fontId="0" fillId="0" borderId="4" xfId="0" applyNumberFormat="1" applyFill="1" applyBorder="1" applyAlignment="1">
      <alignment horizontal="center"/>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1" xfId="0" applyFont="1" applyFill="1" applyBorder="1" applyAlignment="1">
      <alignment horizontal="left"/>
    </xf>
    <xf numFmtId="0" fontId="10" fillId="2" borderId="1" xfId="0" applyFont="1" applyFill="1" applyBorder="1" applyAlignment="1">
      <alignment horizontal="left"/>
    </xf>
    <xf numFmtId="0" fontId="10" fillId="2" borderId="5" xfId="0" applyFont="1" applyFill="1" applyBorder="1" applyAlignment="1">
      <alignment horizontal="left" wrapText="1"/>
    </xf>
    <xf numFmtId="0" fontId="10" fillId="2" borderId="8" xfId="0" applyFont="1" applyFill="1" applyBorder="1" applyAlignment="1">
      <alignment horizontal="left" wrapText="1"/>
    </xf>
    <xf numFmtId="0" fontId="10" fillId="2" borderId="9" xfId="0" applyFont="1" applyFill="1" applyBorder="1" applyAlignment="1">
      <alignment horizontal="left" wrapText="1"/>
    </xf>
    <xf numFmtId="0" fontId="10" fillId="2" borderId="3" xfId="0" applyFont="1" applyFill="1" applyBorder="1" applyAlignment="1">
      <alignment horizontal="center"/>
    </xf>
    <xf numFmtId="0" fontId="10" fillId="2" borderId="7" xfId="0" applyFont="1" applyFill="1" applyBorder="1" applyAlignment="1">
      <alignment horizontal="center"/>
    </xf>
    <xf numFmtId="0" fontId="10" fillId="2" borderId="4" xfId="0" applyFont="1" applyFill="1" applyBorder="1" applyAlignment="1">
      <alignment horizontal="center"/>
    </xf>
    <xf numFmtId="0" fontId="0" fillId="0" borderId="0" xfId="0" applyFont="1" applyAlignment="1">
      <alignment horizontal="center"/>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2" borderId="4" xfId="0" applyFont="1" applyFill="1" applyBorder="1" applyAlignment="1">
      <alignment horizontal="center"/>
    </xf>
    <xf numFmtId="0" fontId="1" fillId="0" borderId="3" xfId="0" applyFont="1" applyFill="1" applyBorder="1" applyAlignment="1">
      <alignment horizontal="center"/>
    </xf>
    <xf numFmtId="0" fontId="1" fillId="0" borderId="7" xfId="0" applyFont="1" applyFill="1" applyBorder="1" applyAlignment="1">
      <alignment horizontal="center"/>
    </xf>
    <xf numFmtId="0" fontId="1" fillId="2" borderId="1" xfId="0" applyFont="1" applyFill="1" applyBorder="1" applyAlignment="1">
      <alignment horizontal="left" wrapText="1"/>
    </xf>
    <xf numFmtId="0" fontId="1" fillId="2" borderId="7" xfId="0" applyFont="1" applyFill="1" applyBorder="1" applyAlignment="1">
      <alignment horizontal="left"/>
    </xf>
    <xf numFmtId="0" fontId="0" fillId="0" borderId="1" xfId="0" applyFont="1" applyFill="1" applyBorder="1" applyAlignment="1">
      <alignment horizontal="left" vertical="center"/>
    </xf>
    <xf numFmtId="0" fontId="0" fillId="0" borderId="3" xfId="0" applyFont="1" applyFill="1" applyBorder="1" applyAlignment="1">
      <alignment horizontal="left"/>
    </xf>
    <xf numFmtId="0" fontId="0" fillId="0" borderId="4" xfId="0" applyFont="1" applyFill="1" applyBorder="1" applyAlignment="1">
      <alignment horizontal="left"/>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4" xfId="0" applyFont="1" applyFill="1" applyBorder="1" applyAlignment="1">
      <alignment horizontal="center"/>
    </xf>
    <xf numFmtId="0" fontId="0" fillId="0" borderId="1" xfId="0" applyBorder="1" applyAlignment="1">
      <alignment horizontal="center"/>
    </xf>
    <xf numFmtId="0" fontId="0" fillId="0" borderId="1"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xf>
    <xf numFmtId="0" fontId="0" fillId="3" borderId="1" xfId="0" applyFont="1" applyFill="1" applyBorder="1" applyAlignment="1">
      <alignment horizontal="center"/>
    </xf>
    <xf numFmtId="0" fontId="1" fillId="0" borderId="4" xfId="0" applyFont="1" applyFill="1" applyBorder="1" applyAlignment="1">
      <alignment horizontal="center"/>
    </xf>
    <xf numFmtId="0" fontId="60" fillId="0" borderId="28" xfId="3" applyFont="1" applyFill="1" applyBorder="1" applyAlignment="1">
      <alignment horizontal="left" vertical="distributed"/>
    </xf>
    <xf numFmtId="0" fontId="60" fillId="0" borderId="7" xfId="3" applyFont="1" applyFill="1" applyBorder="1" applyAlignment="1">
      <alignment horizontal="left" vertical="distributed"/>
    </xf>
    <xf numFmtId="0" fontId="60" fillId="0" borderId="4" xfId="3" applyFont="1" applyFill="1" applyBorder="1" applyAlignment="1">
      <alignment horizontal="left" vertical="distributed"/>
    </xf>
    <xf numFmtId="0" fontId="60" fillId="0" borderId="3" xfId="3" applyFont="1" applyFill="1" applyBorder="1" applyAlignment="1">
      <alignment horizontal="left" vertical="distributed"/>
    </xf>
    <xf numFmtId="0" fontId="60" fillId="0" borderId="29" xfId="3" applyFont="1" applyFill="1" applyBorder="1" applyAlignment="1">
      <alignment horizontal="left" vertical="distributed"/>
    </xf>
    <xf numFmtId="0" fontId="56" fillId="9" borderId="64" xfId="7" applyFont="1" applyFill="1" applyBorder="1"/>
    <xf numFmtId="0" fontId="61" fillId="9" borderId="17" xfId="7" applyFont="1" applyFill="1" applyBorder="1" applyAlignment="1">
      <alignment horizontal="center"/>
    </xf>
    <xf numFmtId="0" fontId="61" fillId="9" borderId="18" xfId="7" applyFont="1" applyFill="1" applyBorder="1" applyAlignment="1">
      <alignment horizontal="center"/>
    </xf>
    <xf numFmtId="0" fontId="61" fillId="9" borderId="19" xfId="7" applyFont="1" applyFill="1" applyBorder="1" applyAlignment="1">
      <alignment horizontal="center"/>
    </xf>
    <xf numFmtId="0" fontId="57" fillId="0" borderId="0" xfId="3" applyFont="1" applyFill="1" applyBorder="1" applyAlignment="1">
      <alignment horizontal="center" vertical="center"/>
    </xf>
  </cellXfs>
  <cellStyles count="9">
    <cellStyle name="Normal" xfId="0" builtinId="0"/>
    <cellStyle name="Normal 2" xfId="3"/>
    <cellStyle name="Normal 3" xfId="7"/>
    <cellStyle name="Normal 3 2" xfId="8"/>
    <cellStyle name="Porcentagem" xfId="2" builtinId="5"/>
    <cellStyle name="Porcentagem 2" xfId="4"/>
    <cellStyle name="Separador de milhares" xfId="1" builtinId="3"/>
    <cellStyle name="Vírgula 2" xfId="6"/>
    <cellStyle name="Vírgula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top.mg.gov.br/index.php/servicos/preco-setop.html" TargetMode="External"/></Relationships>
</file>

<file path=xl/drawings/drawing1.xml><?xml version="1.0" encoding="utf-8"?>
<xdr:wsDr xmlns:xdr="http://schemas.openxmlformats.org/drawingml/2006/spreadsheetDrawing" xmlns:a="http://schemas.openxmlformats.org/drawingml/2006/main">
  <xdr:oneCellAnchor>
    <xdr:from>
      <xdr:col>4</xdr:col>
      <xdr:colOff>742950</xdr:colOff>
      <xdr:row>0</xdr:row>
      <xdr:rowOff>0</xdr:rowOff>
    </xdr:from>
    <xdr:ext cx="65" cy="172227"/>
    <xdr:sp macro="" textlink="">
      <xdr:nvSpPr>
        <xdr:cNvPr id="2" name="CaixaDeTexto 1"/>
        <xdr:cNvSpPr txBox="1"/>
      </xdr:nvSpPr>
      <xdr:spPr>
        <a:xfrm>
          <a:off x="5863590" y="784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0</xdr:row>
      <xdr:rowOff>0</xdr:rowOff>
    </xdr:from>
    <xdr:ext cx="65" cy="180056"/>
    <xdr:sp macro="" textlink="">
      <xdr:nvSpPr>
        <xdr:cNvPr id="3" name="CaixaDeTexto 2"/>
        <xdr:cNvSpPr txBox="1"/>
      </xdr:nvSpPr>
      <xdr:spPr>
        <a:xfrm>
          <a:off x="5863590" y="235077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0</xdr:row>
      <xdr:rowOff>0</xdr:rowOff>
    </xdr:from>
    <xdr:ext cx="65" cy="172227"/>
    <xdr:sp macro="" textlink="">
      <xdr:nvSpPr>
        <xdr:cNvPr id="4" name="CaixaDeTexto 3"/>
        <xdr:cNvSpPr txBox="1"/>
      </xdr:nvSpPr>
      <xdr:spPr>
        <a:xfrm>
          <a:off x="5863590" y="4400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0</xdr:row>
      <xdr:rowOff>0</xdr:rowOff>
    </xdr:from>
    <xdr:ext cx="65" cy="180056"/>
    <xdr:sp macro="" textlink="">
      <xdr:nvSpPr>
        <xdr:cNvPr id="5" name="CaixaDeTexto 4"/>
        <xdr:cNvSpPr txBox="1"/>
      </xdr:nvSpPr>
      <xdr:spPr>
        <a:xfrm>
          <a:off x="5863590" y="667893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78105</xdr:colOff>
      <xdr:row>11</xdr:row>
      <xdr:rowOff>0</xdr:rowOff>
    </xdr:from>
    <xdr:to>
      <xdr:col>14</xdr:col>
      <xdr:colOff>419233</xdr:colOff>
      <xdr:row>27</xdr:row>
      <xdr:rowOff>0</xdr:rowOff>
    </xdr:to>
    <xdr:pic>
      <xdr:nvPicPr>
        <xdr:cNvPr id="3" name="Picture 104">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l="5417" t="15778" r="78606" b="62000"/>
        <a:stretch>
          <a:fillRect/>
        </a:stretch>
      </xdr:blipFill>
      <xdr:spPr bwMode="auto">
        <a:xfrm>
          <a:off x="17786985" y="2727960"/>
          <a:ext cx="341128" cy="11129545"/>
        </a:xfrm>
        <a:prstGeom prst="rect">
          <a:avLst/>
        </a:prstGeom>
        <a:ln>
          <a:noFill/>
        </a:ln>
        <a:effectLst>
          <a:outerShdw blurRad="190500" algn="tl" rotWithShape="0">
            <a:srgbClr val="000000">
              <a:alpha val="70000"/>
            </a:srgbClr>
          </a:outerShdw>
        </a:effectLst>
      </xdr:spPr>
    </xdr:pic>
    <xdr:clientData/>
  </xdr:twoCellAnchor>
  <xdr:twoCellAnchor>
    <xdr:from>
      <xdr:col>1</xdr:col>
      <xdr:colOff>1034415</xdr:colOff>
      <xdr:row>0</xdr:row>
      <xdr:rowOff>0</xdr:rowOff>
    </xdr:from>
    <xdr:to>
      <xdr:col>5</xdr:col>
      <xdr:colOff>697250</xdr:colOff>
      <xdr:row>1</xdr:row>
      <xdr:rowOff>40259</xdr:rowOff>
    </xdr:to>
    <xdr:sp macro="" textlink="">
      <xdr:nvSpPr>
        <xdr:cNvPr id="4" name="Text Box 6"/>
        <xdr:cNvSpPr txBox="1">
          <a:spLocks noChangeArrowheads="1"/>
        </xdr:cNvSpPr>
      </xdr:nvSpPr>
      <xdr:spPr bwMode="auto">
        <a:xfrm>
          <a:off x="1407795" y="0"/>
          <a:ext cx="8143895" cy="85979"/>
        </a:xfrm>
        <a:prstGeom prst="rect">
          <a:avLst/>
        </a:prstGeom>
        <a:noFill/>
        <a:ln w="9525">
          <a:noFill/>
          <a:miter lim="800000"/>
          <a:headEnd/>
          <a:tailEnd/>
        </a:ln>
      </xdr:spPr>
      <xdr:txBody>
        <a:bodyPr vertOverflow="clip" wrap="square" lIns="27432" tIns="22860" rIns="0" bIns="0" anchor="ctr" upright="1"/>
        <a:lstStyle/>
        <a:p>
          <a:pPr algn="ctr"/>
          <a:endParaRPr lang="pt-BR" sz="1100">
            <a:effectLst/>
            <a:latin typeface="+mn-lt"/>
            <a:ea typeface="+mn-ea"/>
            <a:cs typeface="+mn-cs"/>
          </a:endParaRPr>
        </a:p>
        <a:p>
          <a:pPr algn="ctr" rtl="0">
            <a:defRPr sz="1000"/>
          </a:pPr>
          <a:endParaRPr lang="pt-BR" sz="1050" b="1" i="0" u="none" strike="noStrike" baseline="0">
            <a:solidFill>
              <a:srgbClr val="FF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742950</xdr:colOff>
      <xdr:row>177</xdr:row>
      <xdr:rowOff>0</xdr:rowOff>
    </xdr:from>
    <xdr:ext cx="65" cy="172227"/>
    <xdr:sp macro="" textlink="">
      <xdr:nvSpPr>
        <xdr:cNvPr id="6" name="CaixaDeTexto 5"/>
        <xdr:cNvSpPr txBox="1"/>
      </xdr:nvSpPr>
      <xdr:spPr>
        <a:xfrm>
          <a:off x="586359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177</xdr:row>
      <xdr:rowOff>0</xdr:rowOff>
    </xdr:from>
    <xdr:ext cx="65" cy="180056"/>
    <xdr:sp macro="" textlink="">
      <xdr:nvSpPr>
        <xdr:cNvPr id="7" name="CaixaDeTexto 6"/>
        <xdr:cNvSpPr txBox="1"/>
      </xdr:nvSpPr>
      <xdr:spPr>
        <a:xfrm>
          <a:off x="586359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177</xdr:row>
      <xdr:rowOff>0</xdr:rowOff>
    </xdr:from>
    <xdr:ext cx="65" cy="172227"/>
    <xdr:sp macro="" textlink="">
      <xdr:nvSpPr>
        <xdr:cNvPr id="8" name="CaixaDeTexto 7"/>
        <xdr:cNvSpPr txBox="1"/>
      </xdr:nvSpPr>
      <xdr:spPr>
        <a:xfrm>
          <a:off x="5863590" y="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177</xdr:row>
      <xdr:rowOff>0</xdr:rowOff>
    </xdr:from>
    <xdr:ext cx="65" cy="180056"/>
    <xdr:sp macro="" textlink="">
      <xdr:nvSpPr>
        <xdr:cNvPr id="9" name="CaixaDeTexto 8"/>
        <xdr:cNvSpPr txBox="1"/>
      </xdr:nvSpPr>
      <xdr:spPr>
        <a:xfrm>
          <a:off x="5863590" y="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240</xdr:row>
      <xdr:rowOff>0</xdr:rowOff>
    </xdr:from>
    <xdr:ext cx="65" cy="172227"/>
    <xdr:sp macro="" textlink="">
      <xdr:nvSpPr>
        <xdr:cNvPr id="10" name="CaixaDeTexto 9"/>
        <xdr:cNvSpPr txBox="1"/>
      </xdr:nvSpPr>
      <xdr:spPr>
        <a:xfrm>
          <a:off x="4690110" y="308914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240</xdr:row>
      <xdr:rowOff>0</xdr:rowOff>
    </xdr:from>
    <xdr:ext cx="65" cy="180056"/>
    <xdr:sp macro="" textlink="">
      <xdr:nvSpPr>
        <xdr:cNvPr id="11" name="CaixaDeTexto 10"/>
        <xdr:cNvSpPr txBox="1"/>
      </xdr:nvSpPr>
      <xdr:spPr>
        <a:xfrm>
          <a:off x="4690110" y="3089148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240</xdr:row>
      <xdr:rowOff>0</xdr:rowOff>
    </xdr:from>
    <xdr:ext cx="65" cy="172227"/>
    <xdr:sp macro="" textlink="">
      <xdr:nvSpPr>
        <xdr:cNvPr id="12" name="CaixaDeTexto 11"/>
        <xdr:cNvSpPr txBox="1"/>
      </xdr:nvSpPr>
      <xdr:spPr>
        <a:xfrm>
          <a:off x="4690110" y="308914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240</xdr:row>
      <xdr:rowOff>0</xdr:rowOff>
    </xdr:from>
    <xdr:ext cx="65" cy="180056"/>
    <xdr:sp macro="" textlink="">
      <xdr:nvSpPr>
        <xdr:cNvPr id="13" name="CaixaDeTexto 12"/>
        <xdr:cNvSpPr txBox="1"/>
      </xdr:nvSpPr>
      <xdr:spPr>
        <a:xfrm>
          <a:off x="4690110" y="3089148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161925</xdr:colOff>
      <xdr:row>51</xdr:row>
      <xdr:rowOff>0</xdr:rowOff>
    </xdr:from>
    <xdr:to>
      <xdr:col>2</xdr:col>
      <xdr:colOff>428625</xdr:colOff>
      <xdr:row>51</xdr:row>
      <xdr:rowOff>0</xdr:rowOff>
    </xdr:to>
    <xdr:sp macro="" textlink="">
      <xdr:nvSpPr>
        <xdr:cNvPr id="3" name="Line 3"/>
        <xdr:cNvSpPr>
          <a:spLocks noChangeShapeType="1"/>
        </xdr:cNvSpPr>
      </xdr:nvSpPr>
      <xdr:spPr bwMode="auto">
        <a:xfrm>
          <a:off x="161925" y="7629525"/>
          <a:ext cx="325755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PMBF/CAL&#199;AMENTO%20SANTA%20TEREZINHA/PLANILHA%20M&#218;LTIPLA%202.3_BIAS%20FORTES_REV%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nrique/Documents/BOM%20JARDIM%202021-2024/ESCOLA%20%20AMPLIA&#199;&#195;O/PLANILHA_SETOP_GALP&#195;O%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enrique/Documents/BOCAINA%20ADM%202021-2024/PREFEITURA/PLANILHA_REFORMA%20PREFEITURA%20REV%20FINALATUALIZADA%2016-11-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riscila/Desktop/ENGENHARIA%202015/PMO/UAPS/PLANILHA%20SETOP%20UAPS%20_REFORMA%20E%20AMPLIA&#199;&#195;O_REV%20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sheetData sheetId="1"/>
      <sheetData sheetId="2">
        <row r="29">
          <cell r="G29">
            <v>42826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elo Planilha Orcamentaria"/>
      <sheetName val="CFF"/>
      <sheetName val="CC"/>
      <sheetName val="MC"/>
      <sheetName val="MEMORIA DE CALCULO"/>
    </sheetNames>
    <sheetDataSet>
      <sheetData sheetId="0" refreshError="1">
        <row r="14">
          <cell r="E14" t="str">
            <v>M2</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odelo Planilha Orcamentaria"/>
      <sheetName val="CALCULO "/>
      <sheetName val="COTAÇÕES"/>
      <sheetName val="COMPOSIÇÃO DE CUSTO"/>
      <sheetName val="CFF"/>
      <sheetName val="CC"/>
      <sheetName val="MC"/>
    </sheetNames>
    <sheetDataSet>
      <sheetData sheetId="0">
        <row r="5">
          <cell r="A5" t="str">
            <v>LOCAL: Rua Capitão João Mariano Dias nº 86  - Centro - Bocaina de Minas /MG</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lanilha Orcamentaria"/>
      <sheetName val="FF"/>
      <sheetName val="MC_REFORMA"/>
    </sheetNames>
    <sheetDataSet>
      <sheetData sheetId="0">
        <row r="13">
          <cell r="B13">
            <v>1</v>
          </cell>
          <cell r="D13" t="str">
            <v>INSTALAÇÕES INICIAIS DA OBRA / LOCAÇÃO</v>
          </cell>
        </row>
      </sheetData>
      <sheetData sheetId="1"/>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1296"/>
  <sheetViews>
    <sheetView view="pageBreakPreview" topLeftCell="A28" zoomScale="85" zoomScaleSheetLayoutView="85" workbookViewId="0">
      <selection sqref="A1:L53"/>
    </sheetView>
  </sheetViews>
  <sheetFormatPr defaultColWidth="9.140625" defaultRowHeight="15"/>
  <cols>
    <col min="1" max="11" width="18.7109375" style="527" customWidth="1"/>
    <col min="12" max="12" width="17" style="527" customWidth="1"/>
    <col min="13" max="13" width="19.7109375" style="527" customWidth="1"/>
    <col min="14" max="14" width="17.7109375" style="527" customWidth="1"/>
    <col min="15" max="15" width="13.140625" style="527" customWidth="1"/>
    <col min="16" max="16" width="14.7109375" style="527" customWidth="1"/>
    <col min="17" max="256" width="9.140625" style="527"/>
    <col min="257" max="267" width="18.7109375" style="527" customWidth="1"/>
    <col min="268" max="268" width="17" style="527" customWidth="1"/>
    <col min="269" max="269" width="19.7109375" style="527" customWidth="1"/>
    <col min="270" max="270" width="17.7109375" style="527" customWidth="1"/>
    <col min="271" max="271" width="13.140625" style="527" customWidth="1"/>
    <col min="272" max="272" width="14.7109375" style="527" customWidth="1"/>
    <col min="273" max="512" width="9.140625" style="527"/>
    <col min="513" max="523" width="18.7109375" style="527" customWidth="1"/>
    <col min="524" max="524" width="17" style="527" customWidth="1"/>
    <col min="525" max="525" width="19.7109375" style="527" customWidth="1"/>
    <col min="526" max="526" width="17.7109375" style="527" customWidth="1"/>
    <col min="527" max="527" width="13.140625" style="527" customWidth="1"/>
    <col min="528" max="528" width="14.7109375" style="527" customWidth="1"/>
    <col min="529" max="768" width="9.140625" style="527"/>
    <col min="769" max="779" width="18.7109375" style="527" customWidth="1"/>
    <col min="780" max="780" width="17" style="527" customWidth="1"/>
    <col min="781" max="781" width="19.7109375" style="527" customWidth="1"/>
    <col min="782" max="782" width="17.7109375" style="527" customWidth="1"/>
    <col min="783" max="783" width="13.140625" style="527" customWidth="1"/>
    <col min="784" max="784" width="14.7109375" style="527" customWidth="1"/>
    <col min="785" max="1024" width="9.140625" style="527"/>
    <col min="1025" max="1035" width="18.7109375" style="527" customWidth="1"/>
    <col min="1036" max="1036" width="17" style="527" customWidth="1"/>
    <col min="1037" max="1037" width="19.7109375" style="527" customWidth="1"/>
    <col min="1038" max="1038" width="17.7109375" style="527" customWidth="1"/>
    <col min="1039" max="1039" width="13.140625" style="527" customWidth="1"/>
    <col min="1040" max="1040" width="14.7109375" style="527" customWidth="1"/>
    <col min="1041" max="1280" width="9.140625" style="527"/>
    <col min="1281" max="1291" width="18.7109375" style="527" customWidth="1"/>
    <col min="1292" max="1292" width="17" style="527" customWidth="1"/>
    <col min="1293" max="1293" width="19.7109375" style="527" customWidth="1"/>
    <col min="1294" max="1294" width="17.7109375" style="527" customWidth="1"/>
    <col min="1295" max="1295" width="13.140625" style="527" customWidth="1"/>
    <col min="1296" max="1296" width="14.7109375" style="527" customWidth="1"/>
    <col min="1297" max="1536" width="9.140625" style="527"/>
    <col min="1537" max="1547" width="18.7109375" style="527" customWidth="1"/>
    <col min="1548" max="1548" width="17" style="527" customWidth="1"/>
    <col min="1549" max="1549" width="19.7109375" style="527" customWidth="1"/>
    <col min="1550" max="1550" width="17.7109375" style="527" customWidth="1"/>
    <col min="1551" max="1551" width="13.140625" style="527" customWidth="1"/>
    <col min="1552" max="1552" width="14.7109375" style="527" customWidth="1"/>
    <col min="1553" max="1792" width="9.140625" style="527"/>
    <col min="1793" max="1803" width="18.7109375" style="527" customWidth="1"/>
    <col min="1804" max="1804" width="17" style="527" customWidth="1"/>
    <col min="1805" max="1805" width="19.7109375" style="527" customWidth="1"/>
    <col min="1806" max="1806" width="17.7109375" style="527" customWidth="1"/>
    <col min="1807" max="1807" width="13.140625" style="527" customWidth="1"/>
    <col min="1808" max="1808" width="14.7109375" style="527" customWidth="1"/>
    <col min="1809" max="2048" width="9.140625" style="527"/>
    <col min="2049" max="2059" width="18.7109375" style="527" customWidth="1"/>
    <col min="2060" max="2060" width="17" style="527" customWidth="1"/>
    <col min="2061" max="2061" width="19.7109375" style="527" customWidth="1"/>
    <col min="2062" max="2062" width="17.7109375" style="527" customWidth="1"/>
    <col min="2063" max="2063" width="13.140625" style="527" customWidth="1"/>
    <col min="2064" max="2064" width="14.7109375" style="527" customWidth="1"/>
    <col min="2065" max="2304" width="9.140625" style="527"/>
    <col min="2305" max="2315" width="18.7109375" style="527" customWidth="1"/>
    <col min="2316" max="2316" width="17" style="527" customWidth="1"/>
    <col min="2317" max="2317" width="19.7109375" style="527" customWidth="1"/>
    <col min="2318" max="2318" width="17.7109375" style="527" customWidth="1"/>
    <col min="2319" max="2319" width="13.140625" style="527" customWidth="1"/>
    <col min="2320" max="2320" width="14.7109375" style="527" customWidth="1"/>
    <col min="2321" max="2560" width="9.140625" style="527"/>
    <col min="2561" max="2571" width="18.7109375" style="527" customWidth="1"/>
    <col min="2572" max="2572" width="17" style="527" customWidth="1"/>
    <col min="2573" max="2573" width="19.7109375" style="527" customWidth="1"/>
    <col min="2574" max="2574" width="17.7109375" style="527" customWidth="1"/>
    <col min="2575" max="2575" width="13.140625" style="527" customWidth="1"/>
    <col min="2576" max="2576" width="14.7109375" style="527" customWidth="1"/>
    <col min="2577" max="2816" width="9.140625" style="527"/>
    <col min="2817" max="2827" width="18.7109375" style="527" customWidth="1"/>
    <col min="2828" max="2828" width="17" style="527" customWidth="1"/>
    <col min="2829" max="2829" width="19.7109375" style="527" customWidth="1"/>
    <col min="2830" max="2830" width="17.7109375" style="527" customWidth="1"/>
    <col min="2831" max="2831" width="13.140625" style="527" customWidth="1"/>
    <col min="2832" max="2832" width="14.7109375" style="527" customWidth="1"/>
    <col min="2833" max="3072" width="9.140625" style="527"/>
    <col min="3073" max="3083" width="18.7109375" style="527" customWidth="1"/>
    <col min="3084" max="3084" width="17" style="527" customWidth="1"/>
    <col min="3085" max="3085" width="19.7109375" style="527" customWidth="1"/>
    <col min="3086" max="3086" width="17.7109375" style="527" customWidth="1"/>
    <col min="3087" max="3087" width="13.140625" style="527" customWidth="1"/>
    <col min="3088" max="3088" width="14.7109375" style="527" customWidth="1"/>
    <col min="3089" max="3328" width="9.140625" style="527"/>
    <col min="3329" max="3339" width="18.7109375" style="527" customWidth="1"/>
    <col min="3340" max="3340" width="17" style="527" customWidth="1"/>
    <col min="3341" max="3341" width="19.7109375" style="527" customWidth="1"/>
    <col min="3342" max="3342" width="17.7109375" style="527" customWidth="1"/>
    <col min="3343" max="3343" width="13.140625" style="527" customWidth="1"/>
    <col min="3344" max="3344" width="14.7109375" style="527" customWidth="1"/>
    <col min="3345" max="3584" width="9.140625" style="527"/>
    <col min="3585" max="3595" width="18.7109375" style="527" customWidth="1"/>
    <col min="3596" max="3596" width="17" style="527" customWidth="1"/>
    <col min="3597" max="3597" width="19.7109375" style="527" customWidth="1"/>
    <col min="3598" max="3598" width="17.7109375" style="527" customWidth="1"/>
    <col min="3599" max="3599" width="13.140625" style="527" customWidth="1"/>
    <col min="3600" max="3600" width="14.7109375" style="527" customWidth="1"/>
    <col min="3601" max="3840" width="9.140625" style="527"/>
    <col min="3841" max="3851" width="18.7109375" style="527" customWidth="1"/>
    <col min="3852" max="3852" width="17" style="527" customWidth="1"/>
    <col min="3853" max="3853" width="19.7109375" style="527" customWidth="1"/>
    <col min="3854" max="3854" width="17.7109375" style="527" customWidth="1"/>
    <col min="3855" max="3855" width="13.140625" style="527" customWidth="1"/>
    <col min="3856" max="3856" width="14.7109375" style="527" customWidth="1"/>
    <col min="3857" max="4096" width="9.140625" style="527"/>
    <col min="4097" max="4107" width="18.7109375" style="527" customWidth="1"/>
    <col min="4108" max="4108" width="17" style="527" customWidth="1"/>
    <col min="4109" max="4109" width="19.7109375" style="527" customWidth="1"/>
    <col min="4110" max="4110" width="17.7109375" style="527" customWidth="1"/>
    <col min="4111" max="4111" width="13.140625" style="527" customWidth="1"/>
    <col min="4112" max="4112" width="14.7109375" style="527" customWidth="1"/>
    <col min="4113" max="4352" width="9.140625" style="527"/>
    <col min="4353" max="4363" width="18.7109375" style="527" customWidth="1"/>
    <col min="4364" max="4364" width="17" style="527" customWidth="1"/>
    <col min="4365" max="4365" width="19.7109375" style="527" customWidth="1"/>
    <col min="4366" max="4366" width="17.7109375" style="527" customWidth="1"/>
    <col min="4367" max="4367" width="13.140625" style="527" customWidth="1"/>
    <col min="4368" max="4368" width="14.7109375" style="527" customWidth="1"/>
    <col min="4369" max="4608" width="9.140625" style="527"/>
    <col min="4609" max="4619" width="18.7109375" style="527" customWidth="1"/>
    <col min="4620" max="4620" width="17" style="527" customWidth="1"/>
    <col min="4621" max="4621" width="19.7109375" style="527" customWidth="1"/>
    <col min="4622" max="4622" width="17.7109375" style="527" customWidth="1"/>
    <col min="4623" max="4623" width="13.140625" style="527" customWidth="1"/>
    <col min="4624" max="4624" width="14.7109375" style="527" customWidth="1"/>
    <col min="4625" max="4864" width="9.140625" style="527"/>
    <col min="4865" max="4875" width="18.7109375" style="527" customWidth="1"/>
    <col min="4876" max="4876" width="17" style="527" customWidth="1"/>
    <col min="4877" max="4877" width="19.7109375" style="527" customWidth="1"/>
    <col min="4878" max="4878" width="17.7109375" style="527" customWidth="1"/>
    <col min="4879" max="4879" width="13.140625" style="527" customWidth="1"/>
    <col min="4880" max="4880" width="14.7109375" style="527" customWidth="1"/>
    <col min="4881" max="5120" width="9.140625" style="527"/>
    <col min="5121" max="5131" width="18.7109375" style="527" customWidth="1"/>
    <col min="5132" max="5132" width="17" style="527" customWidth="1"/>
    <col min="5133" max="5133" width="19.7109375" style="527" customWidth="1"/>
    <col min="5134" max="5134" width="17.7109375" style="527" customWidth="1"/>
    <col min="5135" max="5135" width="13.140625" style="527" customWidth="1"/>
    <col min="5136" max="5136" width="14.7109375" style="527" customWidth="1"/>
    <col min="5137" max="5376" width="9.140625" style="527"/>
    <col min="5377" max="5387" width="18.7109375" style="527" customWidth="1"/>
    <col min="5388" max="5388" width="17" style="527" customWidth="1"/>
    <col min="5389" max="5389" width="19.7109375" style="527" customWidth="1"/>
    <col min="5390" max="5390" width="17.7109375" style="527" customWidth="1"/>
    <col min="5391" max="5391" width="13.140625" style="527" customWidth="1"/>
    <col min="5392" max="5392" width="14.7109375" style="527" customWidth="1"/>
    <col min="5393" max="5632" width="9.140625" style="527"/>
    <col min="5633" max="5643" width="18.7109375" style="527" customWidth="1"/>
    <col min="5644" max="5644" width="17" style="527" customWidth="1"/>
    <col min="5645" max="5645" width="19.7109375" style="527" customWidth="1"/>
    <col min="5646" max="5646" width="17.7109375" style="527" customWidth="1"/>
    <col min="5647" max="5647" width="13.140625" style="527" customWidth="1"/>
    <col min="5648" max="5648" width="14.7109375" style="527" customWidth="1"/>
    <col min="5649" max="5888" width="9.140625" style="527"/>
    <col min="5889" max="5899" width="18.7109375" style="527" customWidth="1"/>
    <col min="5900" max="5900" width="17" style="527" customWidth="1"/>
    <col min="5901" max="5901" width="19.7109375" style="527" customWidth="1"/>
    <col min="5902" max="5902" width="17.7109375" style="527" customWidth="1"/>
    <col min="5903" max="5903" width="13.140625" style="527" customWidth="1"/>
    <col min="5904" max="5904" width="14.7109375" style="527" customWidth="1"/>
    <col min="5905" max="6144" width="9.140625" style="527"/>
    <col min="6145" max="6155" width="18.7109375" style="527" customWidth="1"/>
    <col min="6156" max="6156" width="17" style="527" customWidth="1"/>
    <col min="6157" max="6157" width="19.7109375" style="527" customWidth="1"/>
    <col min="6158" max="6158" width="17.7109375" style="527" customWidth="1"/>
    <col min="6159" max="6159" width="13.140625" style="527" customWidth="1"/>
    <col min="6160" max="6160" width="14.7109375" style="527" customWidth="1"/>
    <col min="6161" max="6400" width="9.140625" style="527"/>
    <col min="6401" max="6411" width="18.7109375" style="527" customWidth="1"/>
    <col min="6412" max="6412" width="17" style="527" customWidth="1"/>
    <col min="6413" max="6413" width="19.7109375" style="527" customWidth="1"/>
    <col min="6414" max="6414" width="17.7109375" style="527" customWidth="1"/>
    <col min="6415" max="6415" width="13.140625" style="527" customWidth="1"/>
    <col min="6416" max="6416" width="14.7109375" style="527" customWidth="1"/>
    <col min="6417" max="6656" width="9.140625" style="527"/>
    <col min="6657" max="6667" width="18.7109375" style="527" customWidth="1"/>
    <col min="6668" max="6668" width="17" style="527" customWidth="1"/>
    <col min="6669" max="6669" width="19.7109375" style="527" customWidth="1"/>
    <col min="6670" max="6670" width="17.7109375" style="527" customWidth="1"/>
    <col min="6671" max="6671" width="13.140625" style="527" customWidth="1"/>
    <col min="6672" max="6672" width="14.7109375" style="527" customWidth="1"/>
    <col min="6673" max="6912" width="9.140625" style="527"/>
    <col min="6913" max="6923" width="18.7109375" style="527" customWidth="1"/>
    <col min="6924" max="6924" width="17" style="527" customWidth="1"/>
    <col min="6925" max="6925" width="19.7109375" style="527" customWidth="1"/>
    <col min="6926" max="6926" width="17.7109375" style="527" customWidth="1"/>
    <col min="6927" max="6927" width="13.140625" style="527" customWidth="1"/>
    <col min="6928" max="6928" width="14.7109375" style="527" customWidth="1"/>
    <col min="6929" max="7168" width="9.140625" style="527"/>
    <col min="7169" max="7179" width="18.7109375" style="527" customWidth="1"/>
    <col min="7180" max="7180" width="17" style="527" customWidth="1"/>
    <col min="7181" max="7181" width="19.7109375" style="527" customWidth="1"/>
    <col min="7182" max="7182" width="17.7109375" style="527" customWidth="1"/>
    <col min="7183" max="7183" width="13.140625" style="527" customWidth="1"/>
    <col min="7184" max="7184" width="14.7109375" style="527" customWidth="1"/>
    <col min="7185" max="7424" width="9.140625" style="527"/>
    <col min="7425" max="7435" width="18.7109375" style="527" customWidth="1"/>
    <col min="7436" max="7436" width="17" style="527" customWidth="1"/>
    <col min="7437" max="7437" width="19.7109375" style="527" customWidth="1"/>
    <col min="7438" max="7438" width="17.7109375" style="527" customWidth="1"/>
    <col min="7439" max="7439" width="13.140625" style="527" customWidth="1"/>
    <col min="7440" max="7440" width="14.7109375" style="527" customWidth="1"/>
    <col min="7441" max="7680" width="9.140625" style="527"/>
    <col min="7681" max="7691" width="18.7109375" style="527" customWidth="1"/>
    <col min="7692" max="7692" width="17" style="527" customWidth="1"/>
    <col min="7693" max="7693" width="19.7109375" style="527" customWidth="1"/>
    <col min="7694" max="7694" width="17.7109375" style="527" customWidth="1"/>
    <col min="7695" max="7695" width="13.140625" style="527" customWidth="1"/>
    <col min="7696" max="7696" width="14.7109375" style="527" customWidth="1"/>
    <col min="7697" max="7936" width="9.140625" style="527"/>
    <col min="7937" max="7947" width="18.7109375" style="527" customWidth="1"/>
    <col min="7948" max="7948" width="17" style="527" customWidth="1"/>
    <col min="7949" max="7949" width="19.7109375" style="527" customWidth="1"/>
    <col min="7950" max="7950" width="17.7109375" style="527" customWidth="1"/>
    <col min="7951" max="7951" width="13.140625" style="527" customWidth="1"/>
    <col min="7952" max="7952" width="14.7109375" style="527" customWidth="1"/>
    <col min="7953" max="8192" width="9.140625" style="527"/>
    <col min="8193" max="8203" width="18.7109375" style="527" customWidth="1"/>
    <col min="8204" max="8204" width="17" style="527" customWidth="1"/>
    <col min="8205" max="8205" width="19.7109375" style="527" customWidth="1"/>
    <col min="8206" max="8206" width="17.7109375" style="527" customWidth="1"/>
    <col min="8207" max="8207" width="13.140625" style="527" customWidth="1"/>
    <col min="8208" max="8208" width="14.7109375" style="527" customWidth="1"/>
    <col min="8209" max="8448" width="9.140625" style="527"/>
    <col min="8449" max="8459" width="18.7109375" style="527" customWidth="1"/>
    <col min="8460" max="8460" width="17" style="527" customWidth="1"/>
    <col min="8461" max="8461" width="19.7109375" style="527" customWidth="1"/>
    <col min="8462" max="8462" width="17.7109375" style="527" customWidth="1"/>
    <col min="8463" max="8463" width="13.140625" style="527" customWidth="1"/>
    <col min="8464" max="8464" width="14.7109375" style="527" customWidth="1"/>
    <col min="8465" max="8704" width="9.140625" style="527"/>
    <col min="8705" max="8715" width="18.7109375" style="527" customWidth="1"/>
    <col min="8716" max="8716" width="17" style="527" customWidth="1"/>
    <col min="8717" max="8717" width="19.7109375" style="527" customWidth="1"/>
    <col min="8718" max="8718" width="17.7109375" style="527" customWidth="1"/>
    <col min="8719" max="8719" width="13.140625" style="527" customWidth="1"/>
    <col min="8720" max="8720" width="14.7109375" style="527" customWidth="1"/>
    <col min="8721" max="8960" width="9.140625" style="527"/>
    <col min="8961" max="8971" width="18.7109375" style="527" customWidth="1"/>
    <col min="8972" max="8972" width="17" style="527" customWidth="1"/>
    <col min="8973" max="8973" width="19.7109375" style="527" customWidth="1"/>
    <col min="8974" max="8974" width="17.7109375" style="527" customWidth="1"/>
    <col min="8975" max="8975" width="13.140625" style="527" customWidth="1"/>
    <col min="8976" max="8976" width="14.7109375" style="527" customWidth="1"/>
    <col min="8977" max="9216" width="9.140625" style="527"/>
    <col min="9217" max="9227" width="18.7109375" style="527" customWidth="1"/>
    <col min="9228" max="9228" width="17" style="527" customWidth="1"/>
    <col min="9229" max="9229" width="19.7109375" style="527" customWidth="1"/>
    <col min="9230" max="9230" width="17.7109375" style="527" customWidth="1"/>
    <col min="9231" max="9231" width="13.140625" style="527" customWidth="1"/>
    <col min="9232" max="9232" width="14.7109375" style="527" customWidth="1"/>
    <col min="9233" max="9472" width="9.140625" style="527"/>
    <col min="9473" max="9483" width="18.7109375" style="527" customWidth="1"/>
    <col min="9484" max="9484" width="17" style="527" customWidth="1"/>
    <col min="9485" max="9485" width="19.7109375" style="527" customWidth="1"/>
    <col min="9486" max="9486" width="17.7109375" style="527" customWidth="1"/>
    <col min="9487" max="9487" width="13.140625" style="527" customWidth="1"/>
    <col min="9488" max="9488" width="14.7109375" style="527" customWidth="1"/>
    <col min="9489" max="9728" width="9.140625" style="527"/>
    <col min="9729" max="9739" width="18.7109375" style="527" customWidth="1"/>
    <col min="9740" max="9740" width="17" style="527" customWidth="1"/>
    <col min="9741" max="9741" width="19.7109375" style="527" customWidth="1"/>
    <col min="9742" max="9742" width="17.7109375" style="527" customWidth="1"/>
    <col min="9743" max="9743" width="13.140625" style="527" customWidth="1"/>
    <col min="9744" max="9744" width="14.7109375" style="527" customWidth="1"/>
    <col min="9745" max="9984" width="9.140625" style="527"/>
    <col min="9985" max="9995" width="18.7109375" style="527" customWidth="1"/>
    <col min="9996" max="9996" width="17" style="527" customWidth="1"/>
    <col min="9997" max="9997" width="19.7109375" style="527" customWidth="1"/>
    <col min="9998" max="9998" width="17.7109375" style="527" customWidth="1"/>
    <col min="9999" max="9999" width="13.140625" style="527" customWidth="1"/>
    <col min="10000" max="10000" width="14.7109375" style="527" customWidth="1"/>
    <col min="10001" max="10240" width="9.140625" style="527"/>
    <col min="10241" max="10251" width="18.7109375" style="527" customWidth="1"/>
    <col min="10252" max="10252" width="17" style="527" customWidth="1"/>
    <col min="10253" max="10253" width="19.7109375" style="527" customWidth="1"/>
    <col min="10254" max="10254" width="17.7109375" style="527" customWidth="1"/>
    <col min="10255" max="10255" width="13.140625" style="527" customWidth="1"/>
    <col min="10256" max="10256" width="14.7109375" style="527" customWidth="1"/>
    <col min="10257" max="10496" width="9.140625" style="527"/>
    <col min="10497" max="10507" width="18.7109375" style="527" customWidth="1"/>
    <col min="10508" max="10508" width="17" style="527" customWidth="1"/>
    <col min="10509" max="10509" width="19.7109375" style="527" customWidth="1"/>
    <col min="10510" max="10510" width="17.7109375" style="527" customWidth="1"/>
    <col min="10511" max="10511" width="13.140625" style="527" customWidth="1"/>
    <col min="10512" max="10512" width="14.7109375" style="527" customWidth="1"/>
    <col min="10513" max="10752" width="9.140625" style="527"/>
    <col min="10753" max="10763" width="18.7109375" style="527" customWidth="1"/>
    <col min="10764" max="10764" width="17" style="527" customWidth="1"/>
    <col min="10765" max="10765" width="19.7109375" style="527" customWidth="1"/>
    <col min="10766" max="10766" width="17.7109375" style="527" customWidth="1"/>
    <col min="10767" max="10767" width="13.140625" style="527" customWidth="1"/>
    <col min="10768" max="10768" width="14.7109375" style="527" customWidth="1"/>
    <col min="10769" max="11008" width="9.140625" style="527"/>
    <col min="11009" max="11019" width="18.7109375" style="527" customWidth="1"/>
    <col min="11020" max="11020" width="17" style="527" customWidth="1"/>
    <col min="11021" max="11021" width="19.7109375" style="527" customWidth="1"/>
    <col min="11022" max="11022" width="17.7109375" style="527" customWidth="1"/>
    <col min="11023" max="11023" width="13.140625" style="527" customWidth="1"/>
    <col min="11024" max="11024" width="14.7109375" style="527" customWidth="1"/>
    <col min="11025" max="11264" width="9.140625" style="527"/>
    <col min="11265" max="11275" width="18.7109375" style="527" customWidth="1"/>
    <col min="11276" max="11276" width="17" style="527" customWidth="1"/>
    <col min="11277" max="11277" width="19.7109375" style="527" customWidth="1"/>
    <col min="11278" max="11278" width="17.7109375" style="527" customWidth="1"/>
    <col min="11279" max="11279" width="13.140625" style="527" customWidth="1"/>
    <col min="11280" max="11280" width="14.7109375" style="527" customWidth="1"/>
    <col min="11281" max="11520" width="9.140625" style="527"/>
    <col min="11521" max="11531" width="18.7109375" style="527" customWidth="1"/>
    <col min="11532" max="11532" width="17" style="527" customWidth="1"/>
    <col min="11533" max="11533" width="19.7109375" style="527" customWidth="1"/>
    <col min="11534" max="11534" width="17.7109375" style="527" customWidth="1"/>
    <col min="11535" max="11535" width="13.140625" style="527" customWidth="1"/>
    <col min="11536" max="11536" width="14.7109375" style="527" customWidth="1"/>
    <col min="11537" max="11776" width="9.140625" style="527"/>
    <col min="11777" max="11787" width="18.7109375" style="527" customWidth="1"/>
    <col min="11788" max="11788" width="17" style="527" customWidth="1"/>
    <col min="11789" max="11789" width="19.7109375" style="527" customWidth="1"/>
    <col min="11790" max="11790" width="17.7109375" style="527" customWidth="1"/>
    <col min="11791" max="11791" width="13.140625" style="527" customWidth="1"/>
    <col min="11792" max="11792" width="14.7109375" style="527" customWidth="1"/>
    <col min="11793" max="12032" width="9.140625" style="527"/>
    <col min="12033" max="12043" width="18.7109375" style="527" customWidth="1"/>
    <col min="12044" max="12044" width="17" style="527" customWidth="1"/>
    <col min="12045" max="12045" width="19.7109375" style="527" customWidth="1"/>
    <col min="12046" max="12046" width="17.7109375" style="527" customWidth="1"/>
    <col min="12047" max="12047" width="13.140625" style="527" customWidth="1"/>
    <col min="12048" max="12048" width="14.7109375" style="527" customWidth="1"/>
    <col min="12049" max="12288" width="9.140625" style="527"/>
    <col min="12289" max="12299" width="18.7109375" style="527" customWidth="1"/>
    <col min="12300" max="12300" width="17" style="527" customWidth="1"/>
    <col min="12301" max="12301" width="19.7109375" style="527" customWidth="1"/>
    <col min="12302" max="12302" width="17.7109375" style="527" customWidth="1"/>
    <col min="12303" max="12303" width="13.140625" style="527" customWidth="1"/>
    <col min="12304" max="12304" width="14.7109375" style="527" customWidth="1"/>
    <col min="12305" max="12544" width="9.140625" style="527"/>
    <col min="12545" max="12555" width="18.7109375" style="527" customWidth="1"/>
    <col min="12556" max="12556" width="17" style="527" customWidth="1"/>
    <col min="12557" max="12557" width="19.7109375" style="527" customWidth="1"/>
    <col min="12558" max="12558" width="17.7109375" style="527" customWidth="1"/>
    <col min="12559" max="12559" width="13.140625" style="527" customWidth="1"/>
    <col min="12560" max="12560" width="14.7109375" style="527" customWidth="1"/>
    <col min="12561" max="12800" width="9.140625" style="527"/>
    <col min="12801" max="12811" width="18.7109375" style="527" customWidth="1"/>
    <col min="12812" max="12812" width="17" style="527" customWidth="1"/>
    <col min="12813" max="12813" width="19.7109375" style="527" customWidth="1"/>
    <col min="12814" max="12814" width="17.7109375" style="527" customWidth="1"/>
    <col min="12815" max="12815" width="13.140625" style="527" customWidth="1"/>
    <col min="12816" max="12816" width="14.7109375" style="527" customWidth="1"/>
    <col min="12817" max="13056" width="9.140625" style="527"/>
    <col min="13057" max="13067" width="18.7109375" style="527" customWidth="1"/>
    <col min="13068" max="13068" width="17" style="527" customWidth="1"/>
    <col min="13069" max="13069" width="19.7109375" style="527" customWidth="1"/>
    <col min="13070" max="13070" width="17.7109375" style="527" customWidth="1"/>
    <col min="13071" max="13071" width="13.140625" style="527" customWidth="1"/>
    <col min="13072" max="13072" width="14.7109375" style="527" customWidth="1"/>
    <col min="13073" max="13312" width="9.140625" style="527"/>
    <col min="13313" max="13323" width="18.7109375" style="527" customWidth="1"/>
    <col min="13324" max="13324" width="17" style="527" customWidth="1"/>
    <col min="13325" max="13325" width="19.7109375" style="527" customWidth="1"/>
    <col min="13326" max="13326" width="17.7109375" style="527" customWidth="1"/>
    <col min="13327" max="13327" width="13.140625" style="527" customWidth="1"/>
    <col min="13328" max="13328" width="14.7109375" style="527" customWidth="1"/>
    <col min="13329" max="13568" width="9.140625" style="527"/>
    <col min="13569" max="13579" width="18.7109375" style="527" customWidth="1"/>
    <col min="13580" max="13580" width="17" style="527" customWidth="1"/>
    <col min="13581" max="13581" width="19.7109375" style="527" customWidth="1"/>
    <col min="13582" max="13582" width="17.7109375" style="527" customWidth="1"/>
    <col min="13583" max="13583" width="13.140625" style="527" customWidth="1"/>
    <col min="13584" max="13584" width="14.7109375" style="527" customWidth="1"/>
    <col min="13585" max="13824" width="9.140625" style="527"/>
    <col min="13825" max="13835" width="18.7109375" style="527" customWidth="1"/>
    <col min="13836" max="13836" width="17" style="527" customWidth="1"/>
    <col min="13837" max="13837" width="19.7109375" style="527" customWidth="1"/>
    <col min="13838" max="13838" width="17.7109375" style="527" customWidth="1"/>
    <col min="13839" max="13839" width="13.140625" style="527" customWidth="1"/>
    <col min="13840" max="13840" width="14.7109375" style="527" customWidth="1"/>
    <col min="13841" max="14080" width="9.140625" style="527"/>
    <col min="14081" max="14091" width="18.7109375" style="527" customWidth="1"/>
    <col min="14092" max="14092" width="17" style="527" customWidth="1"/>
    <col min="14093" max="14093" width="19.7109375" style="527" customWidth="1"/>
    <col min="14094" max="14094" width="17.7109375" style="527" customWidth="1"/>
    <col min="14095" max="14095" width="13.140625" style="527" customWidth="1"/>
    <col min="14096" max="14096" width="14.7109375" style="527" customWidth="1"/>
    <col min="14097" max="14336" width="9.140625" style="527"/>
    <col min="14337" max="14347" width="18.7109375" style="527" customWidth="1"/>
    <col min="14348" max="14348" width="17" style="527" customWidth="1"/>
    <col min="14349" max="14349" width="19.7109375" style="527" customWidth="1"/>
    <col min="14350" max="14350" width="17.7109375" style="527" customWidth="1"/>
    <col min="14351" max="14351" width="13.140625" style="527" customWidth="1"/>
    <col min="14352" max="14352" width="14.7109375" style="527" customWidth="1"/>
    <col min="14353" max="14592" width="9.140625" style="527"/>
    <col min="14593" max="14603" width="18.7109375" style="527" customWidth="1"/>
    <col min="14604" max="14604" width="17" style="527" customWidth="1"/>
    <col min="14605" max="14605" width="19.7109375" style="527" customWidth="1"/>
    <col min="14606" max="14606" width="17.7109375" style="527" customWidth="1"/>
    <col min="14607" max="14607" width="13.140625" style="527" customWidth="1"/>
    <col min="14608" max="14608" width="14.7109375" style="527" customWidth="1"/>
    <col min="14609" max="14848" width="9.140625" style="527"/>
    <col min="14849" max="14859" width="18.7109375" style="527" customWidth="1"/>
    <col min="14860" max="14860" width="17" style="527" customWidth="1"/>
    <col min="14861" max="14861" width="19.7109375" style="527" customWidth="1"/>
    <col min="14862" max="14862" width="17.7109375" style="527" customWidth="1"/>
    <col min="14863" max="14863" width="13.140625" style="527" customWidth="1"/>
    <col min="14864" max="14864" width="14.7109375" style="527" customWidth="1"/>
    <col min="14865" max="15104" width="9.140625" style="527"/>
    <col min="15105" max="15115" width="18.7109375" style="527" customWidth="1"/>
    <col min="15116" max="15116" width="17" style="527" customWidth="1"/>
    <col min="15117" max="15117" width="19.7109375" style="527" customWidth="1"/>
    <col min="15118" max="15118" width="17.7109375" style="527" customWidth="1"/>
    <col min="15119" max="15119" width="13.140625" style="527" customWidth="1"/>
    <col min="15120" max="15120" width="14.7109375" style="527" customWidth="1"/>
    <col min="15121" max="15360" width="9.140625" style="527"/>
    <col min="15361" max="15371" width="18.7109375" style="527" customWidth="1"/>
    <col min="15372" max="15372" width="17" style="527" customWidth="1"/>
    <col min="15373" max="15373" width="19.7109375" style="527" customWidth="1"/>
    <col min="15374" max="15374" width="17.7109375" style="527" customWidth="1"/>
    <col min="15375" max="15375" width="13.140625" style="527" customWidth="1"/>
    <col min="15376" max="15376" width="14.7109375" style="527" customWidth="1"/>
    <col min="15377" max="15616" width="9.140625" style="527"/>
    <col min="15617" max="15627" width="18.7109375" style="527" customWidth="1"/>
    <col min="15628" max="15628" width="17" style="527" customWidth="1"/>
    <col min="15629" max="15629" width="19.7109375" style="527" customWidth="1"/>
    <col min="15630" max="15630" width="17.7109375" style="527" customWidth="1"/>
    <col min="15631" max="15631" width="13.140625" style="527" customWidth="1"/>
    <col min="15632" max="15632" width="14.7109375" style="527" customWidth="1"/>
    <col min="15633" max="15872" width="9.140625" style="527"/>
    <col min="15873" max="15883" width="18.7109375" style="527" customWidth="1"/>
    <col min="15884" max="15884" width="17" style="527" customWidth="1"/>
    <col min="15885" max="15885" width="19.7109375" style="527" customWidth="1"/>
    <col min="15886" max="15886" width="17.7109375" style="527" customWidth="1"/>
    <col min="15887" max="15887" width="13.140625" style="527" customWidth="1"/>
    <col min="15888" max="15888" width="14.7109375" style="527" customWidth="1"/>
    <col min="15889" max="16128" width="9.140625" style="527"/>
    <col min="16129" max="16139" width="18.7109375" style="527" customWidth="1"/>
    <col min="16140" max="16140" width="17" style="527" customWidth="1"/>
    <col min="16141" max="16141" width="19.7109375" style="527" customWidth="1"/>
    <col min="16142" max="16142" width="17.7109375" style="527" customWidth="1"/>
    <col min="16143" max="16143" width="13.140625" style="527" customWidth="1"/>
    <col min="16144" max="16144" width="14.7109375" style="527" customWidth="1"/>
    <col min="16145" max="16384" width="9.140625" style="527"/>
  </cols>
  <sheetData>
    <row r="1" spans="1:15" s="530" customFormat="1" ht="15.75" customHeight="1" thickBot="1">
      <c r="A1" s="531"/>
      <c r="B1" s="531"/>
      <c r="C1" s="531"/>
      <c r="D1" s="531"/>
      <c r="E1" s="528"/>
      <c r="F1" s="528"/>
      <c r="G1" s="528"/>
      <c r="H1" s="528"/>
      <c r="I1" s="528"/>
      <c r="J1" s="529"/>
      <c r="K1" s="529"/>
    </row>
    <row r="2" spans="1:15" s="533" customFormat="1" ht="15.75" thickBot="1">
      <c r="A2" s="782" t="s">
        <v>391</v>
      </c>
      <c r="B2" s="783"/>
      <c r="C2" s="783"/>
      <c r="D2" s="784"/>
      <c r="E2" s="532"/>
      <c r="F2" s="532"/>
      <c r="G2" s="532"/>
      <c r="H2" s="532"/>
      <c r="I2" s="532"/>
      <c r="J2" s="416"/>
      <c r="K2" s="416"/>
      <c r="L2" s="416"/>
    </row>
    <row r="3" spans="1:15" s="533" customFormat="1" ht="38.25">
      <c r="A3" s="534" t="s">
        <v>149</v>
      </c>
      <c r="B3" s="535" t="s">
        <v>377</v>
      </c>
      <c r="C3" s="536" t="s">
        <v>378</v>
      </c>
      <c r="D3" s="535" t="s">
        <v>42</v>
      </c>
      <c r="E3" s="537" t="s">
        <v>48</v>
      </c>
      <c r="F3" s="785" t="s">
        <v>376</v>
      </c>
      <c r="G3" s="786"/>
      <c r="H3" s="536" t="s">
        <v>381</v>
      </c>
      <c r="I3" s="538" t="s">
        <v>382</v>
      </c>
      <c r="J3" s="538" t="s">
        <v>383</v>
      </c>
      <c r="K3" s="538" t="s">
        <v>384</v>
      </c>
      <c r="L3" s="539" t="s">
        <v>392</v>
      </c>
    </row>
    <row r="4" spans="1:15" s="533" customFormat="1">
      <c r="A4" s="774" t="s">
        <v>385</v>
      </c>
      <c r="B4" s="540">
        <v>6.5</v>
      </c>
      <c r="C4" s="771">
        <v>4.5</v>
      </c>
      <c r="D4" s="771">
        <v>1</v>
      </c>
      <c r="E4" s="541">
        <v>1</v>
      </c>
      <c r="F4" s="542" t="s">
        <v>398</v>
      </c>
      <c r="G4" s="542">
        <v>1</v>
      </c>
      <c r="H4" s="780">
        <f>((B4+B5+B6+B7)*C4*D4*E4)-((2.4*2.25*G4)+(3*1.7*G5)+(1.5*1.7*G6)+(0.7*1*G7)+(1*1*G8)+(0.9*2.1*G9))</f>
        <v>183.46</v>
      </c>
      <c r="I4" s="771">
        <v>0</v>
      </c>
      <c r="J4" s="771">
        <f>I4</f>
        <v>0</v>
      </c>
      <c r="K4" s="771">
        <f>H4-I4</f>
        <v>183.46</v>
      </c>
      <c r="L4" s="794">
        <v>0</v>
      </c>
    </row>
    <row r="5" spans="1:15" s="533" customFormat="1">
      <c r="A5" s="775"/>
      <c r="B5" s="540">
        <v>6.5</v>
      </c>
      <c r="C5" s="772"/>
      <c r="D5" s="772"/>
      <c r="E5" s="541">
        <v>1</v>
      </c>
      <c r="F5" s="542" t="s">
        <v>399</v>
      </c>
      <c r="G5" s="542">
        <v>1</v>
      </c>
      <c r="H5" s="781"/>
      <c r="I5" s="772"/>
      <c r="J5" s="772"/>
      <c r="K5" s="772"/>
      <c r="L5" s="795"/>
    </row>
    <row r="6" spans="1:15" s="533" customFormat="1">
      <c r="A6" s="775"/>
      <c r="B6" s="540">
        <v>16.3</v>
      </c>
      <c r="C6" s="772"/>
      <c r="D6" s="772"/>
      <c r="E6" s="541"/>
      <c r="F6" s="541" t="s">
        <v>400</v>
      </c>
      <c r="G6" s="541">
        <v>1</v>
      </c>
      <c r="H6" s="781"/>
      <c r="I6" s="772"/>
      <c r="J6" s="772"/>
      <c r="K6" s="772"/>
      <c r="L6" s="789"/>
    </row>
    <row r="7" spans="1:15" s="533" customFormat="1">
      <c r="A7" s="775"/>
      <c r="B7" s="540">
        <v>16.3</v>
      </c>
      <c r="C7" s="772"/>
      <c r="D7" s="772"/>
      <c r="E7" s="541"/>
      <c r="F7" s="542" t="s">
        <v>395</v>
      </c>
      <c r="G7" s="541">
        <v>4</v>
      </c>
      <c r="H7" s="781"/>
      <c r="I7" s="772"/>
      <c r="J7" s="772"/>
      <c r="K7" s="772"/>
      <c r="L7" s="789"/>
    </row>
    <row r="8" spans="1:15" s="533" customFormat="1">
      <c r="A8" s="775"/>
      <c r="B8" s="540">
        <v>0</v>
      </c>
      <c r="C8" s="772"/>
      <c r="D8" s="772"/>
      <c r="E8" s="541"/>
      <c r="F8" s="542" t="s">
        <v>394</v>
      </c>
      <c r="G8" s="541">
        <v>4</v>
      </c>
      <c r="H8" s="781"/>
      <c r="I8" s="772"/>
      <c r="J8" s="772"/>
      <c r="K8" s="772"/>
      <c r="L8" s="789"/>
    </row>
    <row r="9" spans="1:15" s="533" customFormat="1">
      <c r="A9" s="776"/>
      <c r="B9" s="540">
        <v>0</v>
      </c>
      <c r="C9" s="772"/>
      <c r="D9" s="772"/>
      <c r="E9" s="541"/>
      <c r="F9" s="542" t="s">
        <v>396</v>
      </c>
      <c r="G9" s="541">
        <v>1</v>
      </c>
      <c r="H9" s="787"/>
      <c r="I9" s="773"/>
      <c r="J9" s="773"/>
      <c r="K9" s="773"/>
      <c r="L9" s="790"/>
      <c r="M9" s="797"/>
      <c r="N9" s="797"/>
      <c r="O9" s="624"/>
    </row>
    <row r="10" spans="1:15" s="533" customFormat="1">
      <c r="A10" s="777" t="s">
        <v>386</v>
      </c>
      <c r="B10" s="540">
        <v>13.7</v>
      </c>
      <c r="C10" s="771">
        <v>0.8</v>
      </c>
      <c r="D10" s="771">
        <v>2</v>
      </c>
      <c r="E10" s="541">
        <v>0</v>
      </c>
      <c r="F10" s="542">
        <v>0</v>
      </c>
      <c r="G10" s="542">
        <v>0</v>
      </c>
      <c r="H10" s="780">
        <f>((B10+B11)*C10*D10)</f>
        <v>27.52</v>
      </c>
      <c r="I10" s="771">
        <v>0</v>
      </c>
      <c r="J10" s="771">
        <f>I10</f>
        <v>0</v>
      </c>
      <c r="K10" s="771">
        <f>H10-I10</f>
        <v>27.52</v>
      </c>
      <c r="L10" s="788">
        <v>0</v>
      </c>
      <c r="M10" s="797"/>
      <c r="N10" s="797"/>
      <c r="O10" s="624"/>
    </row>
    <row r="11" spans="1:15" s="533" customFormat="1">
      <c r="A11" s="778"/>
      <c r="B11" s="540">
        <f>4.3-0.8</f>
        <v>3.5</v>
      </c>
      <c r="C11" s="772"/>
      <c r="D11" s="772"/>
      <c r="E11" s="541">
        <v>0</v>
      </c>
      <c r="F11" s="542">
        <v>0</v>
      </c>
      <c r="G11" s="542">
        <v>0</v>
      </c>
      <c r="H11" s="781"/>
      <c r="I11" s="772"/>
      <c r="J11" s="772"/>
      <c r="K11" s="772"/>
      <c r="L11" s="789"/>
      <c r="M11" s="797"/>
      <c r="N11" s="797"/>
      <c r="O11" s="624"/>
    </row>
    <row r="12" spans="1:15" s="533" customFormat="1">
      <c r="A12" s="777" t="s">
        <v>233</v>
      </c>
      <c r="B12" s="540">
        <v>1.75</v>
      </c>
      <c r="C12" s="771">
        <f>3.5-1.5</f>
        <v>2</v>
      </c>
      <c r="D12" s="771">
        <v>1</v>
      </c>
      <c r="E12" s="541">
        <v>1</v>
      </c>
      <c r="F12" s="542" t="s">
        <v>393</v>
      </c>
      <c r="G12" s="542">
        <v>1</v>
      </c>
      <c r="H12" s="780">
        <f>((B12+B13+B14+B15)*C12*D12*E12)-((0.7*(2.1-1.5)*G12)+(1*(1-0.3)*G13))</f>
        <v>14.879999999999999</v>
      </c>
      <c r="I12" s="771">
        <f>H12</f>
        <v>14.879999999999999</v>
      </c>
      <c r="J12" s="771">
        <f>I12</f>
        <v>14.879999999999999</v>
      </c>
      <c r="K12" s="771">
        <f>H12-I12</f>
        <v>0</v>
      </c>
      <c r="L12" s="788">
        <v>3.94</v>
      </c>
      <c r="M12" s="797"/>
      <c r="N12" s="797"/>
      <c r="O12" s="624"/>
    </row>
    <row r="13" spans="1:15" s="533" customFormat="1">
      <c r="A13" s="778"/>
      <c r="B13" s="540">
        <v>1.75</v>
      </c>
      <c r="C13" s="772"/>
      <c r="D13" s="772"/>
      <c r="E13" s="541">
        <v>1</v>
      </c>
      <c r="F13" s="542" t="s">
        <v>394</v>
      </c>
      <c r="G13" s="542">
        <v>1</v>
      </c>
      <c r="H13" s="781"/>
      <c r="I13" s="772"/>
      <c r="J13" s="772"/>
      <c r="K13" s="772"/>
      <c r="L13" s="789"/>
      <c r="M13" s="797"/>
      <c r="N13" s="797"/>
      <c r="O13" s="624"/>
    </row>
    <row r="14" spans="1:15" s="533" customFormat="1">
      <c r="A14" s="778"/>
      <c r="B14" s="540">
        <v>2.25</v>
      </c>
      <c r="C14" s="772"/>
      <c r="D14" s="772"/>
      <c r="E14" s="541"/>
      <c r="F14" s="541">
        <v>0</v>
      </c>
      <c r="G14" s="541">
        <v>0</v>
      </c>
      <c r="H14" s="781"/>
      <c r="I14" s="772"/>
      <c r="J14" s="772"/>
      <c r="K14" s="772"/>
      <c r="L14" s="789"/>
      <c r="M14" s="797"/>
      <c r="N14" s="797"/>
      <c r="O14" s="624"/>
    </row>
    <row r="15" spans="1:15" s="533" customFormat="1">
      <c r="A15" s="779"/>
      <c r="B15" s="540">
        <v>2.25</v>
      </c>
      <c r="C15" s="772"/>
      <c r="D15" s="772"/>
      <c r="E15" s="541"/>
      <c r="F15" s="541">
        <v>0</v>
      </c>
      <c r="G15" s="541">
        <v>0</v>
      </c>
      <c r="H15" s="787"/>
      <c r="I15" s="773"/>
      <c r="J15" s="773"/>
      <c r="K15" s="773"/>
      <c r="L15" s="790"/>
      <c r="M15" s="338"/>
      <c r="N15" s="338"/>
      <c r="O15" s="624"/>
    </row>
    <row r="16" spans="1:15" s="533" customFormat="1">
      <c r="A16" s="777" t="s">
        <v>387</v>
      </c>
      <c r="B16" s="540">
        <v>1.25</v>
      </c>
      <c r="C16" s="771">
        <v>2</v>
      </c>
      <c r="D16" s="771">
        <v>1</v>
      </c>
      <c r="E16" s="541">
        <v>1</v>
      </c>
      <c r="F16" s="542" t="s">
        <v>393</v>
      </c>
      <c r="G16" s="542">
        <v>1</v>
      </c>
      <c r="H16" s="780">
        <f>((B16+B17+B18+B19)*C16*D16*E16)-((0.7*(2.1-1.5)*G16)+(0.7*(1-0.3)*G17))</f>
        <v>13.09</v>
      </c>
      <c r="I16" s="771">
        <f>H16</f>
        <v>13.09</v>
      </c>
      <c r="J16" s="771">
        <f>H16</f>
        <v>13.09</v>
      </c>
      <c r="K16" s="771">
        <v>0</v>
      </c>
      <c r="L16" s="788">
        <v>2.81</v>
      </c>
      <c r="M16" s="798"/>
      <c r="N16" s="798"/>
      <c r="O16" s="624"/>
    </row>
    <row r="17" spans="1:15" s="533" customFormat="1">
      <c r="A17" s="778"/>
      <c r="B17" s="540">
        <v>1.25</v>
      </c>
      <c r="C17" s="772"/>
      <c r="D17" s="772"/>
      <c r="E17" s="541">
        <v>1</v>
      </c>
      <c r="F17" s="542" t="s">
        <v>395</v>
      </c>
      <c r="G17" s="542">
        <v>1</v>
      </c>
      <c r="H17" s="781"/>
      <c r="I17" s="772"/>
      <c r="J17" s="772"/>
      <c r="K17" s="772"/>
      <c r="L17" s="789"/>
      <c r="M17" s="797"/>
      <c r="N17" s="797"/>
      <c r="O17" s="623"/>
    </row>
    <row r="18" spans="1:15" s="533" customFormat="1">
      <c r="A18" s="778"/>
      <c r="B18" s="540">
        <v>2.25</v>
      </c>
      <c r="C18" s="772"/>
      <c r="D18" s="772"/>
      <c r="E18" s="541"/>
      <c r="F18" s="541">
        <v>0</v>
      </c>
      <c r="G18" s="541">
        <v>0</v>
      </c>
      <c r="H18" s="781"/>
      <c r="I18" s="772"/>
      <c r="J18" s="772"/>
      <c r="K18" s="772"/>
      <c r="L18" s="789"/>
      <c r="M18" s="797"/>
      <c r="N18" s="797"/>
    </row>
    <row r="19" spans="1:15" s="533" customFormat="1">
      <c r="A19" s="779"/>
      <c r="B19" s="540">
        <v>2.25</v>
      </c>
      <c r="C19" s="772"/>
      <c r="D19" s="772"/>
      <c r="E19" s="541"/>
      <c r="F19" s="541">
        <v>0</v>
      </c>
      <c r="G19" s="541">
        <v>0</v>
      </c>
      <c r="H19" s="787"/>
      <c r="I19" s="773"/>
      <c r="J19" s="773"/>
      <c r="K19" s="773"/>
      <c r="L19" s="790"/>
      <c r="M19" s="797"/>
      <c r="N19" s="797"/>
    </row>
    <row r="20" spans="1:15" s="533" customFormat="1">
      <c r="A20" s="777" t="s">
        <v>388</v>
      </c>
      <c r="B20" s="540">
        <v>1.5</v>
      </c>
      <c r="C20" s="771">
        <v>2</v>
      </c>
      <c r="D20" s="771">
        <v>1</v>
      </c>
      <c r="E20" s="541">
        <v>1</v>
      </c>
      <c r="F20" s="542" t="s">
        <v>393</v>
      </c>
      <c r="G20" s="542">
        <v>1</v>
      </c>
      <c r="H20" s="780">
        <f>((B20+B21+B22+B23)*C20*D20*E20)-((0.7*(2.1-1.5)*G20)+(0.7*(1-0.3)*G21))</f>
        <v>14.09</v>
      </c>
      <c r="I20" s="771">
        <f>H20</f>
        <v>14.09</v>
      </c>
      <c r="J20" s="771">
        <f>I20</f>
        <v>14.09</v>
      </c>
      <c r="K20" s="771">
        <f>H20-I20</f>
        <v>0</v>
      </c>
      <c r="L20" s="788">
        <v>3.38</v>
      </c>
      <c r="M20" s="797"/>
      <c r="N20" s="797"/>
    </row>
    <row r="21" spans="1:15" s="533" customFormat="1">
      <c r="A21" s="778"/>
      <c r="B21" s="540">
        <v>1.5</v>
      </c>
      <c r="C21" s="772"/>
      <c r="D21" s="772"/>
      <c r="E21" s="541">
        <v>0</v>
      </c>
      <c r="F21" s="542" t="s">
        <v>395</v>
      </c>
      <c r="G21" s="542">
        <v>1</v>
      </c>
      <c r="H21" s="781"/>
      <c r="I21" s="772"/>
      <c r="J21" s="772"/>
      <c r="K21" s="772"/>
      <c r="L21" s="789"/>
      <c r="M21" s="797"/>
      <c r="N21" s="797"/>
    </row>
    <row r="22" spans="1:15" s="533" customFormat="1">
      <c r="A22" s="778"/>
      <c r="B22" s="540">
        <v>2.25</v>
      </c>
      <c r="C22" s="772"/>
      <c r="D22" s="772"/>
      <c r="E22" s="541"/>
      <c r="F22" s="541">
        <v>0</v>
      </c>
      <c r="G22" s="541">
        <v>0</v>
      </c>
      <c r="H22" s="781"/>
      <c r="I22" s="772"/>
      <c r="J22" s="772"/>
      <c r="K22" s="772"/>
      <c r="L22" s="789"/>
      <c r="M22" s="797"/>
      <c r="N22" s="797"/>
    </row>
    <row r="23" spans="1:15" s="533" customFormat="1">
      <c r="A23" s="779"/>
      <c r="B23" s="540">
        <v>2.25</v>
      </c>
      <c r="C23" s="772"/>
      <c r="D23" s="772"/>
      <c r="E23" s="541"/>
      <c r="F23" s="541">
        <v>0</v>
      </c>
      <c r="G23" s="541">
        <v>0</v>
      </c>
      <c r="H23" s="787"/>
      <c r="I23" s="773"/>
      <c r="J23" s="773"/>
      <c r="K23" s="773"/>
      <c r="L23" s="790"/>
      <c r="M23" s="797"/>
      <c r="N23" s="797"/>
    </row>
    <row r="24" spans="1:15" s="533" customFormat="1">
      <c r="A24" s="777" t="s">
        <v>372</v>
      </c>
      <c r="B24" s="540">
        <v>1.3</v>
      </c>
      <c r="C24" s="771">
        <v>3.5</v>
      </c>
      <c r="D24" s="771">
        <v>1</v>
      </c>
      <c r="E24" s="541">
        <v>1</v>
      </c>
      <c r="F24" s="542" t="s">
        <v>393</v>
      </c>
      <c r="G24" s="542">
        <v>4</v>
      </c>
      <c r="H24" s="780">
        <f>((B24+B25+B26+B27+B28)*C24*D24*E24)-((0.7*2.1*G24)+(0.8*2.1*G25)+(0.7*2.1*G26))</f>
        <v>77.24499999999999</v>
      </c>
      <c r="I24" s="771">
        <f>H24</f>
        <v>77.24499999999999</v>
      </c>
      <c r="J24" s="771">
        <f>I24</f>
        <v>77.24499999999999</v>
      </c>
      <c r="K24" s="771">
        <f>H24-I24</f>
        <v>0</v>
      </c>
      <c r="L24" s="788">
        <v>14.87</v>
      </c>
      <c r="M24" s="338"/>
      <c r="N24" s="338"/>
    </row>
    <row r="25" spans="1:15" s="533" customFormat="1">
      <c r="A25" s="778"/>
      <c r="B25" s="540">
        <v>6.2</v>
      </c>
      <c r="C25" s="772"/>
      <c r="D25" s="772"/>
      <c r="E25" s="541">
        <v>1</v>
      </c>
      <c r="F25" s="542" t="s">
        <v>379</v>
      </c>
      <c r="G25" s="542">
        <v>1</v>
      </c>
      <c r="H25" s="781"/>
      <c r="I25" s="772"/>
      <c r="J25" s="772"/>
      <c r="K25" s="772"/>
      <c r="L25" s="789"/>
      <c r="M25" s="798"/>
      <c r="N25" s="798"/>
    </row>
    <row r="26" spans="1:15" s="533" customFormat="1">
      <c r="A26" s="778"/>
      <c r="B26" s="540">
        <v>4.95</v>
      </c>
      <c r="C26" s="772"/>
      <c r="D26" s="772"/>
      <c r="E26" s="541">
        <v>1</v>
      </c>
      <c r="F26" s="542" t="s">
        <v>396</v>
      </c>
      <c r="G26" s="542">
        <v>1</v>
      </c>
      <c r="H26" s="781"/>
      <c r="I26" s="772"/>
      <c r="J26" s="772"/>
      <c r="K26" s="772"/>
      <c r="L26" s="789"/>
    </row>
    <row r="27" spans="1:15" s="533" customFormat="1">
      <c r="A27" s="778"/>
      <c r="B27" s="540">
        <v>5.45</v>
      </c>
      <c r="C27" s="772"/>
      <c r="D27" s="772"/>
      <c r="E27" s="541"/>
      <c r="F27" s="541"/>
      <c r="G27" s="541"/>
      <c r="H27" s="781"/>
      <c r="I27" s="772"/>
      <c r="J27" s="772"/>
      <c r="K27" s="772"/>
      <c r="L27" s="789"/>
    </row>
    <row r="28" spans="1:15" s="533" customFormat="1">
      <c r="A28" s="778"/>
      <c r="B28" s="540">
        <v>6.75</v>
      </c>
      <c r="C28" s="772"/>
      <c r="D28" s="772"/>
      <c r="E28" s="541"/>
      <c r="F28" s="541"/>
      <c r="G28" s="541"/>
      <c r="H28" s="781"/>
      <c r="I28" s="772"/>
      <c r="J28" s="772"/>
      <c r="K28" s="772"/>
      <c r="L28" s="789"/>
    </row>
    <row r="29" spans="1:15" s="533" customFormat="1">
      <c r="A29" s="777" t="s">
        <v>389</v>
      </c>
      <c r="B29" s="540">
        <v>2.35</v>
      </c>
      <c r="C29" s="771">
        <v>3.5</v>
      </c>
      <c r="D29" s="771">
        <v>1</v>
      </c>
      <c r="E29" s="541">
        <v>1</v>
      </c>
      <c r="F29" s="542" t="s">
        <v>379</v>
      </c>
      <c r="G29" s="542">
        <v>3</v>
      </c>
      <c r="H29" s="780">
        <f>((B29+B30+B31+B32+B33+B34)*C29*D29*E29)-((0.8*2.1*G29)+(1*0.4*G30))</f>
        <v>79.91</v>
      </c>
      <c r="I29" s="771">
        <f>H29</f>
        <v>79.91</v>
      </c>
      <c r="J29" s="771">
        <f>I29</f>
        <v>79.91</v>
      </c>
      <c r="K29" s="771">
        <f>H29-I29</f>
        <v>0</v>
      </c>
      <c r="L29" s="788">
        <v>30.13</v>
      </c>
    </row>
    <row r="30" spans="1:15" s="533" customFormat="1">
      <c r="A30" s="778"/>
      <c r="B30" s="540">
        <v>2.2999999999999998</v>
      </c>
      <c r="C30" s="772"/>
      <c r="D30" s="772"/>
      <c r="E30" s="541">
        <v>1</v>
      </c>
      <c r="F30" s="542" t="s">
        <v>397</v>
      </c>
      <c r="G30" s="542">
        <v>2</v>
      </c>
      <c r="H30" s="781"/>
      <c r="I30" s="772"/>
      <c r="J30" s="772"/>
      <c r="K30" s="772"/>
      <c r="L30" s="789"/>
    </row>
    <row r="31" spans="1:15" s="533" customFormat="1">
      <c r="A31" s="778"/>
      <c r="B31" s="540">
        <v>2.4500000000000002</v>
      </c>
      <c r="C31" s="772"/>
      <c r="D31" s="772"/>
      <c r="E31" s="541"/>
      <c r="F31" s="541">
        <v>0</v>
      </c>
      <c r="G31" s="541">
        <v>0</v>
      </c>
      <c r="H31" s="781"/>
      <c r="I31" s="772"/>
      <c r="J31" s="772"/>
      <c r="K31" s="772"/>
      <c r="L31" s="795"/>
    </row>
    <row r="32" spans="1:15" s="533" customFormat="1">
      <c r="A32" s="778"/>
      <c r="B32" s="540">
        <v>5.15</v>
      </c>
      <c r="C32" s="772"/>
      <c r="D32" s="772"/>
      <c r="E32" s="541"/>
      <c r="F32" s="541"/>
      <c r="G32" s="541"/>
      <c r="H32" s="781"/>
      <c r="I32" s="772"/>
      <c r="J32" s="772"/>
      <c r="K32" s="772"/>
      <c r="L32" s="795"/>
    </row>
    <row r="33" spans="1:12" s="533" customFormat="1">
      <c r="A33" s="778"/>
      <c r="B33" s="540">
        <v>4.8</v>
      </c>
      <c r="C33" s="772"/>
      <c r="D33" s="772"/>
      <c r="E33" s="541"/>
      <c r="F33" s="541"/>
      <c r="G33" s="541"/>
      <c r="H33" s="781"/>
      <c r="I33" s="772"/>
      <c r="J33" s="772"/>
      <c r="K33" s="772"/>
      <c r="L33" s="795"/>
    </row>
    <row r="34" spans="1:12" s="533" customFormat="1">
      <c r="A34" s="778"/>
      <c r="B34" s="540">
        <v>7.45</v>
      </c>
      <c r="C34" s="772"/>
      <c r="D34" s="772"/>
      <c r="E34" s="541"/>
      <c r="F34" s="541"/>
      <c r="G34" s="541"/>
      <c r="H34" s="781"/>
      <c r="I34" s="772"/>
      <c r="J34" s="772"/>
      <c r="K34" s="772"/>
      <c r="L34" s="795"/>
    </row>
    <row r="35" spans="1:12" s="533" customFormat="1" ht="14.45" customHeight="1">
      <c r="A35" s="774" t="s">
        <v>390</v>
      </c>
      <c r="B35" s="540">
        <v>3.7</v>
      </c>
      <c r="C35" s="771">
        <v>3.5</v>
      </c>
      <c r="D35" s="771">
        <v>1</v>
      </c>
      <c r="E35" s="541">
        <v>1</v>
      </c>
      <c r="F35" s="542" t="s">
        <v>398</v>
      </c>
      <c r="G35" s="542">
        <v>1</v>
      </c>
      <c r="H35" s="780">
        <f>((B35+B36+B37+B38)*C35*D35*E35)-((2.4*2.25*G35)+(3*1.7*G36)+(1.5*1.7*G37)+(0.8*2.1*G38)+(0.9*2.1*G39)+(1*1*G40))</f>
        <v>51.855000000000004</v>
      </c>
      <c r="I35" s="771">
        <f>H35</f>
        <v>51.855000000000004</v>
      </c>
      <c r="J35" s="771">
        <f>I35</f>
        <v>51.855000000000004</v>
      </c>
      <c r="K35" s="771">
        <f>H35-I35</f>
        <v>0</v>
      </c>
      <c r="L35" s="794">
        <v>25.35</v>
      </c>
    </row>
    <row r="36" spans="1:12" s="533" customFormat="1">
      <c r="A36" s="775"/>
      <c r="B36" s="540">
        <v>2.4500000000000002</v>
      </c>
      <c r="C36" s="772"/>
      <c r="D36" s="772"/>
      <c r="E36" s="541">
        <v>1</v>
      </c>
      <c r="F36" s="542" t="s">
        <v>399</v>
      </c>
      <c r="G36" s="542">
        <v>1</v>
      </c>
      <c r="H36" s="781"/>
      <c r="I36" s="772"/>
      <c r="J36" s="772"/>
      <c r="K36" s="772"/>
      <c r="L36" s="795"/>
    </row>
    <row r="37" spans="1:12" s="533" customFormat="1">
      <c r="A37" s="775"/>
      <c r="B37" s="540">
        <v>6.85</v>
      </c>
      <c r="C37" s="772"/>
      <c r="D37" s="772"/>
      <c r="E37" s="541">
        <v>1</v>
      </c>
      <c r="F37" s="541" t="s">
        <v>400</v>
      </c>
      <c r="G37" s="541">
        <v>1</v>
      </c>
      <c r="H37" s="781"/>
      <c r="I37" s="772"/>
      <c r="J37" s="772"/>
      <c r="K37" s="772"/>
      <c r="L37" s="795"/>
    </row>
    <row r="38" spans="1:12" s="533" customFormat="1">
      <c r="A38" s="775"/>
      <c r="B38" s="540">
        <v>6.85</v>
      </c>
      <c r="C38" s="772"/>
      <c r="D38" s="772"/>
      <c r="E38" s="541">
        <v>1</v>
      </c>
      <c r="F38" s="542" t="s">
        <v>379</v>
      </c>
      <c r="G38" s="541">
        <v>1</v>
      </c>
      <c r="H38" s="781"/>
      <c r="I38" s="772"/>
      <c r="J38" s="772"/>
      <c r="K38" s="772"/>
      <c r="L38" s="795"/>
    </row>
    <row r="39" spans="1:12" s="533" customFormat="1">
      <c r="A39" s="775"/>
      <c r="B39" s="540">
        <v>0</v>
      </c>
      <c r="C39" s="772"/>
      <c r="D39" s="772"/>
      <c r="E39" s="541">
        <v>1</v>
      </c>
      <c r="F39" s="542" t="s">
        <v>396</v>
      </c>
      <c r="G39" s="541">
        <v>1</v>
      </c>
      <c r="H39" s="781"/>
      <c r="I39" s="772"/>
      <c r="J39" s="772"/>
      <c r="K39" s="772"/>
      <c r="L39" s="795"/>
    </row>
    <row r="40" spans="1:12" s="533" customFormat="1">
      <c r="A40" s="776"/>
      <c r="B40" s="540">
        <v>0</v>
      </c>
      <c r="C40" s="773"/>
      <c r="D40" s="773"/>
      <c r="E40" s="541">
        <v>1</v>
      </c>
      <c r="F40" s="542" t="s">
        <v>394</v>
      </c>
      <c r="G40" s="541">
        <v>1</v>
      </c>
      <c r="H40" s="787"/>
      <c r="I40" s="773"/>
      <c r="J40" s="773"/>
      <c r="K40" s="773"/>
      <c r="L40" s="796"/>
    </row>
    <row r="41" spans="1:12" s="533" customFormat="1">
      <c r="A41" s="777" t="s">
        <v>231</v>
      </c>
      <c r="B41" s="540">
        <v>1.75</v>
      </c>
      <c r="C41" s="771">
        <v>2</v>
      </c>
      <c r="D41" s="771">
        <v>1</v>
      </c>
      <c r="E41" s="541">
        <v>1</v>
      </c>
      <c r="F41" s="542" t="s">
        <v>396</v>
      </c>
      <c r="G41" s="542">
        <v>1</v>
      </c>
      <c r="H41" s="780">
        <f>((B41+B42+B43+B44)*C41*D41*E41)-((0.9*(2.1-1.5)*G41)+(0.7*(1-0.3)*G42))</f>
        <v>15.37</v>
      </c>
      <c r="I41" s="771">
        <f>H41</f>
        <v>15.37</v>
      </c>
      <c r="J41" s="771">
        <f>I41</f>
        <v>15.37</v>
      </c>
      <c r="K41" s="771">
        <f>H41-I41</f>
        <v>0</v>
      </c>
      <c r="L41" s="794">
        <v>4.12</v>
      </c>
    </row>
    <row r="42" spans="1:12" s="533" customFormat="1">
      <c r="A42" s="778"/>
      <c r="B42" s="540">
        <v>1.75</v>
      </c>
      <c r="C42" s="772"/>
      <c r="D42" s="772"/>
      <c r="E42" s="541">
        <v>1</v>
      </c>
      <c r="F42" s="542" t="s">
        <v>395</v>
      </c>
      <c r="G42" s="542">
        <v>1</v>
      </c>
      <c r="H42" s="781"/>
      <c r="I42" s="772"/>
      <c r="J42" s="772"/>
      <c r="K42" s="772"/>
      <c r="L42" s="795"/>
    </row>
    <row r="43" spans="1:12" s="533" customFormat="1">
      <c r="A43" s="778"/>
      <c r="B43" s="540">
        <v>2.35</v>
      </c>
      <c r="C43" s="772"/>
      <c r="D43" s="772"/>
      <c r="E43" s="541"/>
      <c r="F43" s="541">
        <v>0</v>
      </c>
      <c r="G43" s="541">
        <v>0</v>
      </c>
      <c r="H43" s="781"/>
      <c r="I43" s="772"/>
      <c r="J43" s="772"/>
      <c r="K43" s="772"/>
      <c r="L43" s="795"/>
    </row>
    <row r="44" spans="1:12" s="533" customFormat="1">
      <c r="A44" s="779"/>
      <c r="B44" s="540">
        <v>2.35</v>
      </c>
      <c r="C44" s="772"/>
      <c r="D44" s="772"/>
      <c r="E44" s="541"/>
      <c r="F44" s="541">
        <v>0</v>
      </c>
      <c r="G44" s="541">
        <v>0</v>
      </c>
      <c r="H44" s="787"/>
      <c r="I44" s="773"/>
      <c r="J44" s="773"/>
      <c r="K44" s="773"/>
      <c r="L44" s="796"/>
    </row>
    <row r="45" spans="1:12" s="533" customFormat="1">
      <c r="A45" s="777" t="s">
        <v>232</v>
      </c>
      <c r="B45" s="540">
        <v>2.65</v>
      </c>
      <c r="C45" s="771">
        <v>3.5</v>
      </c>
      <c r="D45" s="771">
        <v>1</v>
      </c>
      <c r="E45" s="541">
        <v>1</v>
      </c>
      <c r="F45" s="542" t="s">
        <v>379</v>
      </c>
      <c r="G45" s="542">
        <v>2</v>
      </c>
      <c r="H45" s="780">
        <f>((B45+B46+B47+B48)*C45*D45*E45)-((0.8*2.1*G45)+(1*1*G46)+(1*1*G47))</f>
        <v>29.64</v>
      </c>
      <c r="I45" s="771">
        <f>H45</f>
        <v>29.64</v>
      </c>
      <c r="J45" s="771">
        <f>I45</f>
        <v>29.64</v>
      </c>
      <c r="K45" s="771">
        <f>H45-I45</f>
        <v>0</v>
      </c>
      <c r="L45" s="794">
        <v>6.23</v>
      </c>
    </row>
    <row r="46" spans="1:12" s="533" customFormat="1">
      <c r="A46" s="778"/>
      <c r="B46" s="540">
        <v>2.65</v>
      </c>
      <c r="C46" s="772"/>
      <c r="D46" s="772"/>
      <c r="E46" s="541">
        <v>0</v>
      </c>
      <c r="F46" s="542" t="s">
        <v>394</v>
      </c>
      <c r="G46" s="542">
        <v>1</v>
      </c>
      <c r="H46" s="781"/>
      <c r="I46" s="772"/>
      <c r="J46" s="772"/>
      <c r="K46" s="772"/>
      <c r="L46" s="795"/>
    </row>
    <row r="47" spans="1:12" s="533" customFormat="1">
      <c r="A47" s="778"/>
      <c r="B47" s="540">
        <v>2.35</v>
      </c>
      <c r="C47" s="772"/>
      <c r="D47" s="772"/>
      <c r="E47" s="541"/>
      <c r="F47" s="542" t="s">
        <v>394</v>
      </c>
      <c r="G47" s="541">
        <v>1</v>
      </c>
      <c r="H47" s="781"/>
      <c r="I47" s="772"/>
      <c r="J47" s="772"/>
      <c r="K47" s="772"/>
      <c r="L47" s="795"/>
    </row>
    <row r="48" spans="1:12" s="533" customFormat="1">
      <c r="A48" s="779"/>
      <c r="B48" s="540">
        <v>2.35</v>
      </c>
      <c r="C48" s="772"/>
      <c r="D48" s="772"/>
      <c r="E48" s="541"/>
      <c r="F48" s="541">
        <v>0</v>
      </c>
      <c r="G48" s="541">
        <v>0</v>
      </c>
      <c r="H48" s="787"/>
      <c r="I48" s="773"/>
      <c r="J48" s="773"/>
      <c r="K48" s="773"/>
      <c r="L48" s="796"/>
    </row>
    <row r="49" spans="1:12" s="533" customFormat="1">
      <c r="A49" s="774" t="s">
        <v>373</v>
      </c>
      <c r="B49" s="540">
        <v>1.25</v>
      </c>
      <c r="C49" s="771">
        <v>2</v>
      </c>
      <c r="D49" s="771">
        <v>1</v>
      </c>
      <c r="E49" s="541">
        <v>1</v>
      </c>
      <c r="F49" s="542" t="s">
        <v>393</v>
      </c>
      <c r="G49" s="542">
        <v>1</v>
      </c>
      <c r="H49" s="780">
        <f>((B49+B50+B51+B52)*C49*D49*E49)-((0.7*(2.1-1.5)*G49)+(0.7*(1-0.3)*G50))</f>
        <v>13.09</v>
      </c>
      <c r="I49" s="771">
        <f>H49</f>
        <v>13.09</v>
      </c>
      <c r="J49" s="771">
        <f>I49</f>
        <v>13.09</v>
      </c>
      <c r="K49" s="771">
        <f>H49-I49</f>
        <v>0</v>
      </c>
      <c r="L49" s="794">
        <v>2.81</v>
      </c>
    </row>
    <row r="50" spans="1:12" s="533" customFormat="1">
      <c r="A50" s="775"/>
      <c r="B50" s="540">
        <v>1.25</v>
      </c>
      <c r="C50" s="772"/>
      <c r="D50" s="772"/>
      <c r="E50" s="541">
        <v>1</v>
      </c>
      <c r="F50" s="542" t="s">
        <v>395</v>
      </c>
      <c r="G50" s="542">
        <v>1</v>
      </c>
      <c r="H50" s="781"/>
      <c r="I50" s="772"/>
      <c r="J50" s="772"/>
      <c r="K50" s="772"/>
      <c r="L50" s="795"/>
    </row>
    <row r="51" spans="1:12" s="533" customFormat="1">
      <c r="A51" s="775"/>
      <c r="B51" s="540">
        <v>2.25</v>
      </c>
      <c r="C51" s="772"/>
      <c r="D51" s="772"/>
      <c r="E51" s="541"/>
      <c r="F51" s="541">
        <v>0</v>
      </c>
      <c r="G51" s="541">
        <v>0</v>
      </c>
      <c r="H51" s="781"/>
      <c r="I51" s="772"/>
      <c r="J51" s="772"/>
      <c r="K51" s="772"/>
      <c r="L51" s="795"/>
    </row>
    <row r="52" spans="1:12" s="533" customFormat="1" ht="15.75" thickBot="1">
      <c r="A52" s="776"/>
      <c r="B52" s="540">
        <v>2.25</v>
      </c>
      <c r="C52" s="772"/>
      <c r="D52" s="772"/>
      <c r="E52" s="541"/>
      <c r="F52" s="541">
        <v>0</v>
      </c>
      <c r="G52" s="541">
        <v>0</v>
      </c>
      <c r="H52" s="787"/>
      <c r="I52" s="773"/>
      <c r="J52" s="773"/>
      <c r="K52" s="773"/>
      <c r="L52" s="796"/>
    </row>
    <row r="53" spans="1:12" s="533" customFormat="1" ht="15.75" thickBot="1">
      <c r="A53" s="791" t="s">
        <v>380</v>
      </c>
      <c r="B53" s="792"/>
      <c r="C53" s="792"/>
      <c r="D53" s="792"/>
      <c r="E53" s="792"/>
      <c r="F53" s="792"/>
      <c r="G53" s="793"/>
      <c r="H53" s="543">
        <f>SUM(H4:H52)</f>
        <v>520.15000000000009</v>
      </c>
      <c r="I53" s="543">
        <f>SUM(I4:I52)</f>
        <v>309.16999999999996</v>
      </c>
      <c r="J53" s="544">
        <f>SUM(J4:J52)</f>
        <v>309.16999999999996</v>
      </c>
      <c r="K53" s="543">
        <f>SUM(K4:K52)</f>
        <v>210.98000000000002</v>
      </c>
      <c r="L53" s="543">
        <f>SUM(L4:L52)</f>
        <v>93.64</v>
      </c>
    </row>
    <row r="54" spans="1:12" s="533" customFormat="1">
      <c r="A54" s="549"/>
      <c r="B54" s="545"/>
      <c r="C54" s="545"/>
      <c r="D54" s="545"/>
      <c r="E54" s="545"/>
      <c r="F54" s="545"/>
      <c r="G54" s="545"/>
      <c r="H54" s="546"/>
      <c r="I54" s="546"/>
      <c r="J54" s="548"/>
      <c r="K54" s="548"/>
    </row>
    <row r="55" spans="1:12" s="533" customFormat="1">
      <c r="A55" s="549"/>
      <c r="B55" s="545"/>
      <c r="C55" s="545"/>
      <c r="D55" s="545"/>
      <c r="E55" s="545"/>
      <c r="F55" s="545"/>
      <c r="G55" s="545"/>
      <c r="H55" s="548"/>
      <c r="I55" s="548"/>
      <c r="J55" s="548"/>
      <c r="K55" s="548"/>
    </row>
    <row r="56" spans="1:12" s="533" customFormat="1">
      <c r="A56" s="549"/>
      <c r="B56" s="545"/>
      <c r="C56" s="545"/>
      <c r="D56" s="545"/>
      <c r="E56" s="545"/>
      <c r="F56" s="545"/>
      <c r="G56" s="545"/>
      <c r="H56" s="548"/>
      <c r="I56" s="548"/>
      <c r="J56" s="548"/>
      <c r="K56" s="548"/>
    </row>
    <row r="57" spans="1:12" s="533" customFormat="1">
      <c r="A57" s="549"/>
      <c r="B57" s="545"/>
      <c r="C57" s="545"/>
      <c r="D57" s="545"/>
      <c r="E57" s="545"/>
      <c r="F57" s="545"/>
      <c r="G57" s="545"/>
      <c r="H57" s="548"/>
      <c r="I57" s="548"/>
      <c r="J57" s="548"/>
      <c r="K57" s="548"/>
    </row>
    <row r="58" spans="1:12" s="533" customFormat="1">
      <c r="A58" s="549"/>
      <c r="B58" s="545"/>
      <c r="C58" s="545"/>
      <c r="D58" s="545"/>
      <c r="E58" s="545"/>
      <c r="F58" s="545"/>
      <c r="G58" s="545"/>
      <c r="H58" s="548"/>
      <c r="I58" s="548"/>
      <c r="J58" s="548"/>
      <c r="K58" s="548"/>
    </row>
    <row r="59" spans="1:12" s="533" customFormat="1">
      <c r="A59" s="549"/>
      <c r="B59" s="545"/>
      <c r="C59" s="545"/>
      <c r="D59" s="545"/>
      <c r="E59" s="545"/>
      <c r="F59" s="545"/>
      <c r="G59" s="545"/>
      <c r="H59" s="548"/>
      <c r="I59" s="548"/>
      <c r="J59" s="548"/>
      <c r="K59" s="548"/>
    </row>
    <row r="60" spans="1:12" s="533" customFormat="1">
      <c r="A60" s="549"/>
      <c r="B60" s="545"/>
      <c r="C60" s="545"/>
      <c r="D60" s="545"/>
      <c r="E60" s="545"/>
      <c r="F60" s="545"/>
      <c r="G60" s="545"/>
      <c r="H60" s="548"/>
      <c r="I60" s="548"/>
      <c r="J60" s="548"/>
      <c r="K60" s="548"/>
    </row>
    <row r="61" spans="1:12" s="533" customFormat="1">
      <c r="A61" s="549"/>
      <c r="B61" s="545"/>
      <c r="C61" s="545"/>
      <c r="D61" s="545"/>
      <c r="E61" s="545"/>
      <c r="F61" s="545"/>
      <c r="G61" s="545"/>
      <c r="H61" s="548"/>
      <c r="I61" s="548"/>
      <c r="J61" s="548"/>
      <c r="K61" s="548"/>
    </row>
    <row r="62" spans="1:12" s="533" customFormat="1">
      <c r="A62" s="549"/>
      <c r="B62" s="545"/>
      <c r="C62" s="545"/>
      <c r="D62" s="545"/>
      <c r="E62" s="545"/>
      <c r="F62" s="545"/>
      <c r="G62" s="545"/>
      <c r="H62" s="548"/>
      <c r="I62" s="548"/>
      <c r="J62" s="548"/>
      <c r="K62" s="548"/>
    </row>
    <row r="63" spans="1:12" s="533" customFormat="1">
      <c r="A63" s="549"/>
      <c r="B63" s="545"/>
      <c r="C63" s="545"/>
      <c r="D63" s="545"/>
      <c r="E63" s="545"/>
      <c r="F63" s="545"/>
      <c r="G63" s="545"/>
      <c r="H63" s="548"/>
      <c r="I63" s="548"/>
      <c r="J63" s="548"/>
      <c r="K63" s="548"/>
    </row>
    <row r="64" spans="1:12" s="533" customFormat="1">
      <c r="A64" s="549"/>
      <c r="B64" s="545"/>
      <c r="C64" s="545"/>
      <c r="D64" s="545"/>
      <c r="E64" s="545"/>
      <c r="F64" s="545"/>
      <c r="G64" s="545"/>
      <c r="H64" s="548"/>
      <c r="I64" s="548"/>
      <c r="J64" s="548"/>
      <c r="K64" s="548"/>
    </row>
    <row r="65" spans="1:11" s="533" customFormat="1">
      <c r="A65" s="549"/>
      <c r="B65" s="545"/>
      <c r="C65" s="545"/>
      <c r="D65" s="545"/>
      <c r="E65" s="545"/>
      <c r="F65" s="545"/>
      <c r="G65" s="545"/>
      <c r="H65" s="548"/>
      <c r="I65" s="548"/>
      <c r="J65" s="548"/>
      <c r="K65" s="548"/>
    </row>
    <row r="66" spans="1:11" s="533" customFormat="1">
      <c r="A66" s="549"/>
      <c r="B66" s="545"/>
      <c r="C66" s="545"/>
      <c r="D66" s="545"/>
      <c r="E66" s="545"/>
      <c r="F66" s="545"/>
      <c r="G66" s="545"/>
      <c r="H66" s="548"/>
      <c r="I66" s="548"/>
      <c r="J66" s="548"/>
      <c r="K66" s="548"/>
    </row>
    <row r="67" spans="1:11" s="533" customFormat="1">
      <c r="A67" s="549"/>
      <c r="B67" s="545"/>
      <c r="C67" s="545"/>
      <c r="D67" s="545"/>
      <c r="E67" s="545"/>
      <c r="F67" s="545"/>
      <c r="G67" s="545"/>
      <c r="H67" s="548"/>
      <c r="I67" s="548"/>
      <c r="J67" s="548"/>
      <c r="K67" s="548"/>
    </row>
    <row r="68" spans="1:11" s="533" customFormat="1">
      <c r="A68" s="549"/>
      <c r="B68" s="545"/>
      <c r="C68" s="545"/>
      <c r="D68" s="545"/>
      <c r="E68" s="545"/>
      <c r="F68" s="545"/>
      <c r="G68" s="545"/>
      <c r="H68" s="548"/>
      <c r="I68" s="548"/>
      <c r="J68" s="548"/>
      <c r="K68" s="548"/>
    </row>
    <row r="69" spans="1:11" s="533" customFormat="1">
      <c r="A69" s="549"/>
      <c r="B69" s="545"/>
      <c r="C69" s="545"/>
      <c r="D69" s="545"/>
      <c r="E69" s="545"/>
      <c r="F69" s="545"/>
      <c r="G69" s="545"/>
      <c r="H69" s="548"/>
      <c r="I69" s="548"/>
      <c r="J69" s="548"/>
      <c r="K69" s="548"/>
    </row>
    <row r="70" spans="1:11" s="533" customFormat="1">
      <c r="A70" s="549"/>
      <c r="B70" s="545"/>
      <c r="C70" s="545"/>
      <c r="D70" s="545"/>
      <c r="E70" s="545"/>
      <c r="F70" s="545"/>
      <c r="G70" s="545"/>
      <c r="H70" s="548"/>
      <c r="I70" s="548"/>
      <c r="J70" s="548"/>
      <c r="K70" s="548"/>
    </row>
    <row r="71" spans="1:11" s="533" customFormat="1">
      <c r="A71" s="549"/>
      <c r="B71" s="545"/>
      <c r="C71" s="545"/>
      <c r="D71" s="545"/>
      <c r="E71" s="545"/>
      <c r="F71" s="545"/>
      <c r="G71" s="545"/>
      <c r="H71" s="548"/>
      <c r="I71" s="548"/>
      <c r="J71" s="548"/>
      <c r="K71" s="548"/>
    </row>
    <row r="72" spans="1:11" s="533" customFormat="1">
      <c r="A72" s="549"/>
      <c r="B72" s="545"/>
      <c r="C72" s="545"/>
      <c r="D72" s="545"/>
      <c r="E72" s="545"/>
      <c r="F72" s="545"/>
      <c r="G72" s="545"/>
      <c r="H72" s="548"/>
      <c r="I72" s="548"/>
      <c r="J72" s="548"/>
      <c r="K72" s="548"/>
    </row>
    <row r="73" spans="1:11" s="533" customFormat="1">
      <c r="A73" s="550"/>
      <c r="B73" s="545"/>
      <c r="C73" s="545"/>
      <c r="D73" s="545"/>
      <c r="E73" s="545"/>
      <c r="F73" s="545"/>
      <c r="G73" s="545"/>
      <c r="H73" s="548"/>
      <c r="I73" s="548"/>
      <c r="J73" s="548"/>
      <c r="K73" s="548"/>
    </row>
    <row r="74" spans="1:11" s="533" customFormat="1">
      <c r="A74" s="550"/>
      <c r="B74" s="545"/>
      <c r="C74" s="545"/>
      <c r="D74" s="545"/>
      <c r="E74" s="545"/>
      <c r="F74" s="545"/>
      <c r="G74" s="545"/>
      <c r="H74" s="548"/>
      <c r="I74" s="548"/>
      <c r="J74" s="548"/>
      <c r="K74" s="548"/>
    </row>
    <row r="75" spans="1:11" s="533" customFormat="1">
      <c r="A75" s="550"/>
      <c r="B75" s="545"/>
      <c r="C75" s="545"/>
      <c r="D75" s="545"/>
      <c r="E75" s="545"/>
      <c r="F75" s="545"/>
      <c r="G75" s="545"/>
      <c r="H75" s="548"/>
      <c r="I75" s="548"/>
      <c r="J75" s="548"/>
      <c r="K75" s="548"/>
    </row>
    <row r="76" spans="1:11" s="533" customFormat="1">
      <c r="A76" s="550"/>
      <c r="B76" s="545"/>
      <c r="C76" s="545"/>
      <c r="D76" s="545"/>
      <c r="E76" s="545"/>
      <c r="F76" s="545"/>
      <c r="G76" s="545"/>
      <c r="H76" s="548"/>
      <c r="I76" s="548"/>
      <c r="J76" s="548"/>
      <c r="K76" s="548"/>
    </row>
    <row r="77" spans="1:11" s="533" customFormat="1">
      <c r="A77" s="550"/>
      <c r="B77" s="545"/>
      <c r="C77" s="545"/>
      <c r="D77" s="545"/>
      <c r="E77" s="545"/>
      <c r="F77" s="545"/>
      <c r="G77" s="545"/>
      <c r="H77" s="548"/>
      <c r="I77" s="548"/>
      <c r="J77" s="548"/>
      <c r="K77" s="548"/>
    </row>
    <row r="78" spans="1:11" s="533" customFormat="1">
      <c r="A78" s="550"/>
      <c r="B78" s="545"/>
      <c r="C78" s="545"/>
      <c r="D78" s="545"/>
      <c r="E78" s="545"/>
      <c r="F78" s="545"/>
      <c r="G78" s="545"/>
      <c r="H78" s="548"/>
      <c r="I78" s="548"/>
      <c r="J78" s="548"/>
      <c r="K78" s="548"/>
    </row>
    <row r="79" spans="1:11" s="533" customFormat="1">
      <c r="A79" s="550"/>
      <c r="B79" s="545"/>
      <c r="C79" s="545"/>
      <c r="D79" s="545"/>
      <c r="E79" s="545"/>
      <c r="F79" s="545"/>
      <c r="G79" s="545"/>
      <c r="H79" s="548"/>
      <c r="I79" s="548"/>
      <c r="J79" s="548"/>
      <c r="K79" s="548"/>
    </row>
    <row r="80" spans="1:11" s="533" customFormat="1">
      <c r="A80" s="550"/>
      <c r="B80" s="545"/>
      <c r="C80" s="545"/>
      <c r="D80" s="545"/>
      <c r="E80" s="545"/>
      <c r="F80" s="545"/>
      <c r="G80" s="545"/>
      <c r="H80" s="548"/>
      <c r="I80" s="548"/>
      <c r="J80" s="548"/>
      <c r="K80" s="548"/>
    </row>
    <row r="81" spans="1:11" s="533" customFormat="1">
      <c r="A81" s="550"/>
      <c r="B81" s="545"/>
      <c r="C81" s="545"/>
      <c r="D81" s="545"/>
      <c r="E81" s="545"/>
      <c r="F81" s="545"/>
      <c r="G81" s="545"/>
      <c r="H81" s="548"/>
      <c r="I81" s="548"/>
      <c r="J81" s="548"/>
      <c r="K81" s="548"/>
    </row>
    <row r="82" spans="1:11" s="533" customFormat="1">
      <c r="A82" s="550"/>
      <c r="B82" s="545"/>
      <c r="C82" s="545"/>
      <c r="D82" s="545"/>
      <c r="E82" s="545"/>
      <c r="F82" s="545"/>
      <c r="G82" s="545"/>
      <c r="H82" s="548"/>
      <c r="I82" s="548"/>
      <c r="J82" s="548"/>
      <c r="K82" s="548"/>
    </row>
    <row r="83" spans="1:11" s="533" customFormat="1">
      <c r="A83" s="550"/>
      <c r="B83" s="545"/>
      <c r="C83" s="545"/>
      <c r="D83" s="545"/>
      <c r="E83" s="545"/>
      <c r="F83" s="545"/>
      <c r="G83" s="545"/>
      <c r="H83" s="548"/>
      <c r="I83" s="548"/>
      <c r="J83" s="548"/>
      <c r="K83" s="548"/>
    </row>
    <row r="84" spans="1:11" s="533" customFormat="1">
      <c r="A84" s="550"/>
      <c r="B84" s="545"/>
      <c r="C84" s="545"/>
      <c r="D84" s="545"/>
      <c r="E84" s="545"/>
      <c r="F84" s="545"/>
      <c r="G84" s="545"/>
      <c r="H84" s="548"/>
      <c r="I84" s="548"/>
      <c r="J84" s="548"/>
      <c r="K84" s="548"/>
    </row>
    <row r="85" spans="1:11" s="533" customFormat="1">
      <c r="A85" s="550"/>
      <c r="B85" s="545"/>
      <c r="C85" s="545"/>
      <c r="D85" s="545"/>
      <c r="E85" s="545"/>
      <c r="F85" s="545"/>
      <c r="G85" s="545"/>
      <c r="H85" s="548"/>
      <c r="I85" s="548"/>
      <c r="J85" s="548"/>
      <c r="K85" s="548"/>
    </row>
    <row r="86" spans="1:11" s="533" customFormat="1" ht="15.6" customHeight="1">
      <c r="A86" s="551"/>
      <c r="B86" s="551"/>
      <c r="C86" s="551"/>
      <c r="D86" s="551"/>
      <c r="E86" s="551"/>
      <c r="F86" s="552"/>
      <c r="G86" s="553"/>
      <c r="H86" s="548"/>
      <c r="I86" s="548"/>
      <c r="J86" s="548"/>
      <c r="K86" s="548"/>
    </row>
    <row r="87" spans="1:11" s="533" customFormat="1">
      <c r="A87" s="554"/>
      <c r="B87" s="545"/>
      <c r="C87" s="545"/>
      <c r="D87" s="545"/>
      <c r="E87" s="545"/>
      <c r="F87" s="545"/>
      <c r="G87" s="545"/>
      <c r="H87" s="548"/>
      <c r="I87" s="548"/>
      <c r="J87" s="548"/>
      <c r="K87" s="548"/>
    </row>
    <row r="88" spans="1:11" s="533" customFormat="1">
      <c r="A88" s="554"/>
      <c r="B88" s="545"/>
      <c r="C88" s="545"/>
      <c r="D88" s="545"/>
      <c r="E88" s="545"/>
      <c r="F88" s="545"/>
      <c r="G88" s="545"/>
      <c r="H88" s="548"/>
      <c r="I88" s="548"/>
      <c r="J88" s="548"/>
      <c r="K88" s="548"/>
    </row>
    <row r="89" spans="1:11" s="533" customFormat="1">
      <c r="A89" s="555"/>
      <c r="B89" s="555"/>
      <c r="C89" s="555"/>
      <c r="D89" s="555"/>
      <c r="E89" s="547"/>
      <c r="G89" s="545"/>
      <c r="H89" s="548"/>
      <c r="I89" s="548"/>
      <c r="J89" s="548"/>
      <c r="K89" s="548"/>
    </row>
    <row r="90" spans="1:11" s="533" customFormat="1">
      <c r="A90" s="556"/>
      <c r="B90" s="557"/>
      <c r="C90" s="557"/>
      <c r="D90" s="557"/>
      <c r="E90" s="557"/>
      <c r="G90" s="545"/>
      <c r="H90" s="548"/>
      <c r="I90" s="548"/>
      <c r="J90" s="548"/>
      <c r="K90" s="548"/>
    </row>
    <row r="91" spans="1:11" s="533" customFormat="1">
      <c r="A91" s="549"/>
      <c r="B91" s="545"/>
      <c r="C91" s="545"/>
      <c r="D91" s="545"/>
      <c r="E91" s="545"/>
      <c r="F91" s="545"/>
      <c r="G91" s="545"/>
      <c r="H91" s="548"/>
      <c r="I91" s="548"/>
      <c r="J91" s="548"/>
      <c r="K91" s="548"/>
    </row>
    <row r="92" spans="1:11" s="533" customFormat="1">
      <c r="A92" s="549"/>
      <c r="B92" s="545"/>
      <c r="C92" s="545"/>
      <c r="D92" s="545"/>
      <c r="E92" s="545"/>
      <c r="F92" s="545"/>
      <c r="G92" s="545"/>
      <c r="H92" s="548"/>
      <c r="I92" s="548"/>
      <c r="J92" s="548"/>
      <c r="K92" s="548"/>
    </row>
    <row r="93" spans="1:11" s="533" customFormat="1">
      <c r="A93" s="549"/>
      <c r="B93" s="545"/>
      <c r="C93" s="545"/>
      <c r="D93" s="545"/>
      <c r="E93" s="545"/>
      <c r="F93" s="551"/>
      <c r="G93" s="546"/>
      <c r="H93" s="548"/>
      <c r="I93" s="548"/>
      <c r="J93" s="548"/>
      <c r="K93" s="548"/>
    </row>
    <row r="94" spans="1:11" s="533" customFormat="1">
      <c r="A94" s="549"/>
      <c r="B94" s="545"/>
      <c r="C94" s="545"/>
      <c r="D94" s="545"/>
      <c r="E94" s="545"/>
      <c r="F94" s="548"/>
      <c r="G94" s="548"/>
      <c r="H94" s="548"/>
      <c r="I94" s="548"/>
      <c r="J94" s="548"/>
      <c r="K94" s="548"/>
    </row>
    <row r="95" spans="1:11" s="533" customFormat="1">
      <c r="A95" s="549"/>
      <c r="B95" s="545"/>
      <c r="C95" s="545"/>
      <c r="D95" s="545"/>
      <c r="E95" s="545"/>
      <c r="F95" s="548"/>
      <c r="G95" s="548"/>
      <c r="H95" s="548"/>
      <c r="I95" s="548"/>
      <c r="J95" s="548"/>
      <c r="K95" s="548"/>
    </row>
    <row r="96" spans="1:11" s="533" customFormat="1">
      <c r="A96" s="551"/>
      <c r="B96" s="551"/>
      <c r="C96" s="551"/>
      <c r="D96" s="551"/>
      <c r="E96" s="552"/>
      <c r="F96" s="558"/>
      <c r="G96" s="558"/>
      <c r="H96" s="548"/>
      <c r="I96" s="548"/>
      <c r="J96" s="548"/>
      <c r="K96" s="548"/>
    </row>
    <row r="97" spans="1:11" s="533" customFormat="1">
      <c r="A97" s="558"/>
      <c r="B97" s="558"/>
      <c r="C97" s="558"/>
      <c r="D97" s="558"/>
      <c r="E97" s="558"/>
      <c r="F97" s="558"/>
      <c r="G97" s="558"/>
      <c r="H97" s="548"/>
      <c r="I97" s="548"/>
      <c r="J97" s="548"/>
      <c r="K97" s="548"/>
    </row>
    <row r="98" spans="1:11" s="533" customFormat="1" ht="15" customHeight="1">
      <c r="A98" s="559"/>
      <c r="B98" s="559"/>
      <c r="C98" s="559"/>
      <c r="D98" s="559"/>
      <c r="E98" s="560"/>
      <c r="F98" s="561"/>
      <c r="G98" s="548"/>
      <c r="H98" s="548"/>
      <c r="I98" s="548"/>
      <c r="J98" s="548"/>
      <c r="K98" s="548"/>
    </row>
    <row r="99" spans="1:11" s="533" customFormat="1">
      <c r="A99" s="555"/>
      <c r="B99" s="555"/>
      <c r="C99" s="555"/>
      <c r="D99" s="562"/>
      <c r="E99" s="548"/>
      <c r="F99" s="548"/>
      <c r="G99" s="548"/>
      <c r="H99" s="548"/>
      <c r="I99" s="548"/>
      <c r="J99" s="548"/>
      <c r="K99" s="548"/>
    </row>
    <row r="100" spans="1:11" s="533" customFormat="1" ht="15" customHeight="1">
      <c r="A100" s="559"/>
      <c r="B100" s="559"/>
      <c r="C100" s="559"/>
      <c r="D100" s="560"/>
      <c r="E100" s="561"/>
      <c r="F100" s="548"/>
      <c r="G100" s="548"/>
      <c r="H100" s="548"/>
      <c r="I100" s="548"/>
      <c r="J100" s="548"/>
      <c r="K100" s="548"/>
    </row>
    <row r="101" spans="1:11" s="533" customFormat="1">
      <c r="A101" s="554"/>
      <c r="B101" s="545"/>
      <c r="C101" s="545"/>
      <c r="D101" s="545"/>
      <c r="E101" s="548"/>
      <c r="F101" s="548"/>
      <c r="G101" s="548"/>
      <c r="H101" s="548"/>
      <c r="I101" s="548"/>
      <c r="J101" s="548"/>
      <c r="K101" s="548"/>
    </row>
    <row r="102" spans="1:11" s="533" customFormat="1">
      <c r="A102" s="555"/>
      <c r="B102" s="555"/>
      <c r="C102" s="555"/>
      <c r="D102" s="555"/>
      <c r="E102" s="548"/>
      <c r="F102" s="545"/>
      <c r="G102" s="548"/>
      <c r="H102" s="548"/>
      <c r="I102" s="548"/>
      <c r="J102" s="548"/>
      <c r="K102" s="548"/>
    </row>
    <row r="103" spans="1:11" s="533" customFormat="1">
      <c r="A103" s="556"/>
      <c r="B103" s="556"/>
      <c r="C103" s="563"/>
      <c r="D103" s="563"/>
      <c r="E103" s="563"/>
      <c r="F103" s="563"/>
      <c r="G103" s="564"/>
      <c r="H103" s="548"/>
      <c r="I103" s="548"/>
      <c r="J103" s="548"/>
      <c r="K103" s="548"/>
    </row>
    <row r="104" spans="1:11" s="533" customFormat="1">
      <c r="A104" s="565"/>
      <c r="B104" s="545"/>
      <c r="C104" s="545"/>
      <c r="D104" s="545"/>
      <c r="E104" s="545"/>
      <c r="F104" s="545"/>
      <c r="G104" s="545"/>
      <c r="H104" s="548"/>
      <c r="I104" s="548"/>
      <c r="J104" s="545"/>
      <c r="K104" s="548"/>
    </row>
    <row r="105" spans="1:11" s="533" customFormat="1">
      <c r="A105" s="565"/>
      <c r="B105" s="545"/>
      <c r="C105" s="545"/>
      <c r="D105" s="545"/>
      <c r="E105" s="545"/>
      <c r="F105" s="545"/>
      <c r="G105" s="545"/>
      <c r="H105" s="548"/>
      <c r="I105" s="548"/>
      <c r="J105" s="545"/>
      <c r="K105" s="548"/>
    </row>
    <row r="106" spans="1:11" s="533" customFormat="1">
      <c r="A106" s="565"/>
      <c r="B106" s="545"/>
      <c r="C106" s="545"/>
      <c r="D106" s="545"/>
      <c r="E106" s="545"/>
      <c r="F106" s="545"/>
      <c r="G106" s="545"/>
      <c r="H106" s="548"/>
      <c r="I106" s="548"/>
      <c r="J106" s="545"/>
      <c r="K106" s="548"/>
    </row>
    <row r="107" spans="1:11" s="533" customFormat="1">
      <c r="A107" s="545"/>
      <c r="B107" s="545"/>
      <c r="C107" s="545"/>
      <c r="D107" s="565"/>
      <c r="E107" s="545"/>
      <c r="F107" s="545"/>
      <c r="G107" s="566"/>
      <c r="H107" s="561"/>
      <c r="I107" s="561"/>
      <c r="J107" s="545"/>
      <c r="K107" s="548"/>
    </row>
    <row r="108" spans="1:11" s="533" customFormat="1">
      <c r="A108" s="567"/>
      <c r="B108" s="545"/>
      <c r="C108" s="545"/>
      <c r="D108" s="545"/>
      <c r="E108" s="545"/>
      <c r="F108" s="545"/>
      <c r="G108" s="545"/>
      <c r="H108" s="545"/>
      <c r="I108" s="545"/>
      <c r="J108" s="545"/>
      <c r="K108" s="548"/>
    </row>
    <row r="109" spans="1:11" s="533" customFormat="1">
      <c r="A109" s="555"/>
      <c r="B109" s="555"/>
      <c r="C109" s="555"/>
      <c r="D109" s="545"/>
      <c r="E109" s="553"/>
      <c r="F109" s="548"/>
      <c r="G109" s="545"/>
      <c r="H109" s="548"/>
      <c r="I109" s="548"/>
    </row>
    <row r="110" spans="1:11" s="533" customFormat="1">
      <c r="A110" s="556"/>
      <c r="B110" s="557"/>
      <c r="C110" s="557"/>
      <c r="D110" s="557"/>
      <c r="E110" s="557"/>
      <c r="F110" s="557"/>
      <c r="G110" s="545"/>
      <c r="H110" s="548"/>
      <c r="I110" s="548"/>
    </row>
    <row r="111" spans="1:11" s="533" customFormat="1">
      <c r="A111" s="554"/>
      <c r="B111" s="545"/>
      <c r="C111" s="545"/>
      <c r="D111" s="545"/>
      <c r="E111" s="545"/>
      <c r="F111" s="545"/>
      <c r="G111" s="545"/>
      <c r="H111" s="548"/>
      <c r="I111" s="548"/>
    </row>
    <row r="112" spans="1:11" s="533" customFormat="1">
      <c r="A112" s="554"/>
      <c r="B112" s="545"/>
      <c r="C112" s="545"/>
      <c r="D112" s="545"/>
      <c r="E112" s="545"/>
      <c r="F112" s="545"/>
      <c r="G112" s="545"/>
      <c r="H112" s="548"/>
      <c r="I112" s="548"/>
    </row>
    <row r="113" spans="1:9" s="533" customFormat="1">
      <c r="A113" s="567"/>
      <c r="B113" s="545"/>
      <c r="C113" s="545"/>
      <c r="D113" s="545"/>
      <c r="E113" s="545"/>
      <c r="F113" s="545"/>
      <c r="G113" s="545"/>
      <c r="H113" s="548"/>
      <c r="I113" s="548"/>
    </row>
    <row r="114" spans="1:9" s="533" customFormat="1">
      <c r="A114" s="567"/>
      <c r="B114" s="545"/>
      <c r="C114" s="545"/>
      <c r="D114" s="545"/>
      <c r="E114" s="545"/>
      <c r="F114" s="545"/>
      <c r="G114" s="545"/>
      <c r="H114" s="548"/>
      <c r="I114" s="548"/>
    </row>
    <row r="115" spans="1:9" s="533" customFormat="1">
      <c r="A115" s="567"/>
      <c r="B115" s="545"/>
      <c r="C115" s="545"/>
      <c r="D115" s="545"/>
      <c r="E115" s="545"/>
      <c r="F115" s="545"/>
      <c r="G115" s="545"/>
      <c r="H115" s="548"/>
      <c r="I115" s="548"/>
    </row>
    <row r="116" spans="1:9" s="533" customFormat="1">
      <c r="A116" s="567"/>
      <c r="B116" s="545"/>
      <c r="C116" s="545"/>
      <c r="D116" s="545"/>
      <c r="E116" s="545"/>
      <c r="F116" s="545"/>
      <c r="G116" s="545"/>
      <c r="H116" s="548"/>
      <c r="I116" s="548"/>
    </row>
    <row r="117" spans="1:9" s="533" customFormat="1">
      <c r="A117" s="545"/>
      <c r="B117" s="545"/>
      <c r="C117" s="545"/>
      <c r="D117" s="545"/>
      <c r="E117" s="545"/>
      <c r="F117" s="545"/>
      <c r="G117" s="545"/>
      <c r="H117" s="548"/>
      <c r="I117" s="548"/>
    </row>
    <row r="118" spans="1:9" s="533" customFormat="1">
      <c r="A118" s="551"/>
      <c r="B118" s="551"/>
      <c r="C118" s="551"/>
      <c r="D118" s="551"/>
      <c r="E118" s="551"/>
      <c r="F118" s="552"/>
      <c r="G118" s="545"/>
      <c r="H118" s="548"/>
      <c r="I118" s="548"/>
    </row>
    <row r="119" spans="1:9" s="533" customFormat="1">
      <c r="A119" s="549"/>
      <c r="B119" s="549"/>
      <c r="C119" s="549"/>
      <c r="D119" s="549"/>
      <c r="E119" s="549"/>
      <c r="F119" s="549"/>
      <c r="G119" s="549"/>
      <c r="H119" s="549"/>
      <c r="I119" s="549"/>
    </row>
    <row r="120" spans="1:9" s="533" customFormat="1">
      <c r="A120" s="549"/>
      <c r="B120" s="549"/>
      <c r="C120" s="549"/>
      <c r="D120" s="549"/>
      <c r="E120" s="549"/>
      <c r="F120" s="549"/>
      <c r="G120" s="549"/>
      <c r="H120" s="549"/>
      <c r="I120" s="549"/>
    </row>
    <row r="121" spans="1:9" s="533" customFormat="1">
      <c r="A121" s="549"/>
      <c r="B121" s="549"/>
      <c r="C121" s="549"/>
      <c r="D121" s="549"/>
      <c r="E121" s="549"/>
      <c r="F121" s="549"/>
      <c r="G121" s="549"/>
      <c r="H121" s="549"/>
      <c r="I121" s="549"/>
    </row>
    <row r="122" spans="1:9" s="533" customFormat="1">
      <c r="A122" s="549"/>
      <c r="B122" s="549"/>
      <c r="C122" s="549"/>
      <c r="D122" s="549"/>
      <c r="E122" s="549"/>
      <c r="F122" s="549"/>
      <c r="G122" s="549"/>
      <c r="H122" s="549"/>
      <c r="I122" s="549"/>
    </row>
    <row r="123" spans="1:9" s="533" customFormat="1">
      <c r="A123" s="549"/>
      <c r="B123" s="549"/>
      <c r="C123" s="549"/>
      <c r="D123" s="549"/>
      <c r="E123" s="549"/>
      <c r="F123" s="549"/>
      <c r="G123" s="549"/>
      <c r="H123" s="549"/>
      <c r="I123" s="549"/>
    </row>
    <row r="124" spans="1:9" s="533" customFormat="1">
      <c r="A124" s="549"/>
      <c r="B124" s="549"/>
      <c r="C124" s="549"/>
      <c r="D124" s="549"/>
      <c r="E124" s="549"/>
      <c r="F124" s="549"/>
      <c r="G124" s="549"/>
      <c r="H124" s="549"/>
      <c r="I124" s="549"/>
    </row>
    <row r="125" spans="1:9" s="533" customFormat="1">
      <c r="A125" s="549"/>
      <c r="B125" s="549"/>
      <c r="C125" s="549"/>
      <c r="D125" s="549"/>
      <c r="E125" s="549"/>
      <c r="F125" s="549"/>
      <c r="G125" s="549"/>
      <c r="H125" s="549"/>
      <c r="I125" s="549"/>
    </row>
    <row r="126" spans="1:9" s="533" customFormat="1">
      <c r="A126" s="549"/>
      <c r="B126" s="549"/>
      <c r="C126" s="549"/>
      <c r="D126" s="549"/>
      <c r="E126" s="549"/>
      <c r="F126" s="549"/>
      <c r="G126" s="549"/>
      <c r="H126" s="549"/>
      <c r="I126" s="549"/>
    </row>
    <row r="127" spans="1:9" s="533" customFormat="1">
      <c r="A127" s="549"/>
      <c r="B127" s="549"/>
      <c r="C127" s="549"/>
      <c r="D127" s="549"/>
      <c r="E127" s="549"/>
      <c r="F127" s="549"/>
      <c r="G127" s="549"/>
      <c r="H127" s="549"/>
      <c r="I127" s="549"/>
    </row>
    <row r="128" spans="1:9" s="533" customFormat="1">
      <c r="A128" s="549"/>
      <c r="B128" s="549"/>
      <c r="C128" s="549"/>
      <c r="D128" s="549"/>
      <c r="E128" s="549"/>
      <c r="F128" s="549"/>
      <c r="G128" s="549"/>
      <c r="H128" s="549"/>
      <c r="I128" s="549"/>
    </row>
    <row r="129" spans="1:9" s="533" customFormat="1">
      <c r="A129" s="549"/>
      <c r="B129" s="549"/>
      <c r="C129" s="549"/>
      <c r="D129" s="549"/>
      <c r="E129" s="549"/>
      <c r="F129" s="549"/>
      <c r="G129" s="549"/>
      <c r="H129" s="549"/>
      <c r="I129" s="549"/>
    </row>
    <row r="130" spans="1:9" s="533" customFormat="1">
      <c r="A130" s="549"/>
      <c r="B130" s="549"/>
      <c r="C130" s="549"/>
      <c r="D130" s="549"/>
      <c r="E130" s="549"/>
      <c r="F130" s="549"/>
      <c r="G130" s="549"/>
      <c r="H130" s="549"/>
      <c r="I130" s="549"/>
    </row>
    <row r="131" spans="1:9" s="533" customFormat="1">
      <c r="A131" s="549"/>
      <c r="B131" s="549"/>
      <c r="C131" s="549"/>
      <c r="D131" s="549"/>
      <c r="E131" s="549"/>
      <c r="F131" s="549"/>
      <c r="G131" s="549"/>
      <c r="H131" s="549"/>
      <c r="I131" s="549"/>
    </row>
    <row r="132" spans="1:9" s="533" customFormat="1">
      <c r="A132" s="549"/>
      <c r="B132" s="549"/>
      <c r="C132" s="549"/>
      <c r="D132" s="549"/>
      <c r="E132" s="549"/>
      <c r="F132" s="549"/>
      <c r="G132" s="549"/>
      <c r="H132" s="549"/>
      <c r="I132" s="549"/>
    </row>
    <row r="133" spans="1:9" s="533" customFormat="1">
      <c r="A133" s="549"/>
      <c r="B133" s="549"/>
      <c r="C133" s="549"/>
      <c r="D133" s="549"/>
      <c r="E133" s="549"/>
      <c r="F133" s="549"/>
      <c r="G133" s="549"/>
      <c r="H133" s="549"/>
      <c r="I133" s="549"/>
    </row>
    <row r="134" spans="1:9" s="533" customFormat="1">
      <c r="A134" s="549"/>
      <c r="B134" s="549"/>
      <c r="C134" s="549"/>
      <c r="D134" s="549"/>
      <c r="E134" s="549"/>
      <c r="F134" s="549"/>
      <c r="G134" s="549"/>
      <c r="H134" s="549"/>
      <c r="I134" s="549"/>
    </row>
    <row r="135" spans="1:9" s="533" customFormat="1">
      <c r="A135" s="549"/>
      <c r="B135" s="549"/>
      <c r="C135" s="549"/>
      <c r="D135" s="549"/>
      <c r="E135" s="549"/>
      <c r="F135" s="549"/>
      <c r="G135" s="549"/>
      <c r="H135" s="549"/>
      <c r="I135" s="549"/>
    </row>
    <row r="136" spans="1:9" s="533" customFormat="1">
      <c r="A136" s="549"/>
      <c r="B136" s="549"/>
      <c r="C136" s="549"/>
      <c r="D136" s="549"/>
      <c r="E136" s="549"/>
      <c r="F136" s="549"/>
      <c r="G136" s="549"/>
      <c r="H136" s="549"/>
      <c r="I136" s="549"/>
    </row>
    <row r="137" spans="1:9" s="533" customFormat="1">
      <c r="A137" s="549"/>
      <c r="B137" s="549"/>
      <c r="C137" s="549"/>
      <c r="D137" s="549"/>
      <c r="E137" s="549"/>
      <c r="F137" s="549"/>
      <c r="G137" s="549"/>
      <c r="H137" s="549"/>
      <c r="I137" s="549"/>
    </row>
    <row r="138" spans="1:9" s="533" customFormat="1">
      <c r="A138" s="549"/>
      <c r="B138" s="549"/>
      <c r="C138" s="549"/>
      <c r="D138" s="549"/>
      <c r="E138" s="549"/>
      <c r="F138" s="549"/>
      <c r="G138" s="549"/>
      <c r="H138" s="549"/>
      <c r="I138" s="549"/>
    </row>
    <row r="139" spans="1:9" s="533" customFormat="1">
      <c r="A139" s="549"/>
      <c r="B139" s="549"/>
      <c r="C139" s="549"/>
      <c r="D139" s="549"/>
      <c r="E139" s="549"/>
      <c r="F139" s="549"/>
      <c r="G139" s="549"/>
      <c r="H139" s="549"/>
      <c r="I139" s="549"/>
    </row>
    <row r="140" spans="1:9" s="533" customFormat="1">
      <c r="A140" s="549"/>
      <c r="B140" s="549"/>
      <c r="C140" s="549"/>
      <c r="D140" s="549"/>
      <c r="E140" s="549"/>
      <c r="F140" s="549"/>
      <c r="G140" s="549"/>
      <c r="H140" s="549"/>
      <c r="I140" s="549"/>
    </row>
    <row r="141" spans="1:9" s="533" customFormat="1">
      <c r="A141" s="549"/>
      <c r="B141" s="549"/>
      <c r="C141" s="549"/>
      <c r="D141" s="549"/>
      <c r="E141" s="549"/>
      <c r="F141" s="549"/>
      <c r="G141" s="549"/>
      <c r="H141" s="549"/>
      <c r="I141" s="549"/>
    </row>
    <row r="142" spans="1:9" s="533" customFormat="1">
      <c r="A142" s="549"/>
      <c r="B142" s="549"/>
      <c r="C142" s="549"/>
      <c r="D142" s="549"/>
      <c r="E142" s="549"/>
      <c r="F142" s="549"/>
      <c r="G142" s="549"/>
      <c r="H142" s="549"/>
      <c r="I142" s="549"/>
    </row>
    <row r="143" spans="1:9" s="533" customFormat="1">
      <c r="A143" s="549"/>
      <c r="B143" s="549"/>
      <c r="C143" s="549"/>
      <c r="D143" s="549"/>
      <c r="E143" s="549"/>
      <c r="F143" s="549"/>
      <c r="G143" s="549"/>
      <c r="H143" s="549"/>
      <c r="I143" s="549"/>
    </row>
    <row r="144" spans="1:9" s="533" customFormat="1">
      <c r="A144" s="549"/>
      <c r="B144" s="549"/>
      <c r="C144" s="549"/>
      <c r="D144" s="549"/>
      <c r="E144" s="549"/>
      <c r="F144" s="549"/>
      <c r="G144" s="549"/>
      <c r="H144" s="549"/>
      <c r="I144" s="549"/>
    </row>
    <row r="145" spans="1:9" s="533" customFormat="1">
      <c r="A145" s="549"/>
      <c r="B145" s="549"/>
      <c r="C145" s="549"/>
      <c r="D145" s="549"/>
      <c r="E145" s="549"/>
      <c r="F145" s="549"/>
      <c r="G145" s="549"/>
      <c r="H145" s="549"/>
      <c r="I145" s="549"/>
    </row>
    <row r="146" spans="1:9" s="533" customFormat="1">
      <c r="A146" s="549"/>
      <c r="B146" s="549"/>
      <c r="C146" s="549"/>
      <c r="D146" s="549"/>
      <c r="E146" s="549"/>
      <c r="F146" s="549"/>
      <c r="G146" s="549"/>
      <c r="H146" s="549"/>
      <c r="I146" s="549"/>
    </row>
    <row r="147" spans="1:9" s="533" customFormat="1">
      <c r="A147" s="549"/>
      <c r="B147" s="549"/>
      <c r="C147" s="549"/>
      <c r="D147" s="549"/>
      <c r="E147" s="549"/>
      <c r="F147" s="549"/>
      <c r="G147" s="549"/>
      <c r="H147" s="549"/>
      <c r="I147" s="549"/>
    </row>
    <row r="148" spans="1:9" s="533" customFormat="1">
      <c r="A148" s="549"/>
      <c r="B148" s="549"/>
      <c r="C148" s="549"/>
      <c r="D148" s="549"/>
      <c r="E148" s="549"/>
      <c r="F148" s="549"/>
      <c r="G148" s="549"/>
      <c r="H148" s="549"/>
      <c r="I148" s="549"/>
    </row>
    <row r="149" spans="1:9" s="533" customFormat="1">
      <c r="A149" s="549"/>
      <c r="B149" s="549"/>
      <c r="C149" s="549"/>
      <c r="D149" s="549"/>
      <c r="E149" s="549"/>
      <c r="F149" s="549"/>
      <c r="G149" s="549"/>
      <c r="H149" s="549"/>
      <c r="I149" s="549"/>
    </row>
    <row r="150" spans="1:9" s="533" customFormat="1">
      <c r="A150" s="549"/>
      <c r="B150" s="549"/>
      <c r="C150" s="549"/>
      <c r="D150" s="549"/>
      <c r="E150" s="549"/>
      <c r="F150" s="549"/>
      <c r="G150" s="549"/>
      <c r="H150" s="549"/>
      <c r="I150" s="549"/>
    </row>
    <row r="151" spans="1:9" s="533" customFormat="1">
      <c r="A151" s="549"/>
      <c r="B151" s="549"/>
      <c r="C151" s="549"/>
      <c r="D151" s="549"/>
      <c r="E151" s="549"/>
      <c r="F151" s="549"/>
      <c r="G151" s="549"/>
      <c r="H151" s="549"/>
      <c r="I151" s="549"/>
    </row>
    <row r="152" spans="1:9" s="533" customFormat="1">
      <c r="A152" s="549"/>
      <c r="B152" s="549"/>
      <c r="C152" s="549"/>
      <c r="D152" s="549"/>
      <c r="E152" s="549"/>
      <c r="F152" s="549"/>
      <c r="G152" s="549"/>
      <c r="H152" s="549"/>
      <c r="I152" s="549"/>
    </row>
    <row r="153" spans="1:9" s="533" customFormat="1">
      <c r="A153" s="549"/>
      <c r="B153" s="549"/>
      <c r="C153" s="549"/>
      <c r="D153" s="549"/>
      <c r="E153" s="549"/>
      <c r="F153" s="549"/>
      <c r="G153" s="549"/>
      <c r="H153" s="549"/>
      <c r="I153" s="549"/>
    </row>
    <row r="154" spans="1:9" s="533" customFormat="1">
      <c r="A154" s="549"/>
      <c r="B154" s="549"/>
      <c r="C154" s="549"/>
      <c r="D154" s="549"/>
      <c r="E154" s="549"/>
      <c r="F154" s="549"/>
      <c r="G154" s="549"/>
      <c r="H154" s="549"/>
      <c r="I154" s="549"/>
    </row>
    <row r="155" spans="1:9" s="533" customFormat="1">
      <c r="A155" s="549"/>
      <c r="B155" s="549"/>
      <c r="C155" s="549"/>
      <c r="D155" s="549"/>
      <c r="E155" s="549"/>
      <c r="F155" s="549"/>
      <c r="G155" s="549"/>
      <c r="H155" s="549"/>
      <c r="I155" s="549"/>
    </row>
    <row r="156" spans="1:9" s="533" customFormat="1">
      <c r="A156" s="549"/>
      <c r="B156" s="549"/>
      <c r="C156" s="549"/>
      <c r="D156" s="549"/>
      <c r="E156" s="549"/>
      <c r="F156" s="549"/>
      <c r="G156" s="549"/>
      <c r="H156" s="549"/>
      <c r="I156" s="549"/>
    </row>
    <row r="157" spans="1:9" s="533" customFormat="1">
      <c r="A157" s="549"/>
      <c r="B157" s="549"/>
      <c r="C157" s="549"/>
      <c r="D157" s="549"/>
      <c r="E157" s="549"/>
      <c r="F157" s="549"/>
      <c r="G157" s="549"/>
      <c r="H157" s="549"/>
      <c r="I157" s="549"/>
    </row>
    <row r="158" spans="1:9" s="533" customFormat="1">
      <c r="A158" s="549"/>
      <c r="B158" s="549"/>
      <c r="C158" s="549"/>
      <c r="D158" s="549"/>
      <c r="E158" s="549"/>
      <c r="F158" s="549"/>
      <c r="G158" s="549"/>
      <c r="H158" s="549"/>
      <c r="I158" s="549"/>
    </row>
    <row r="159" spans="1:9" s="533" customFormat="1">
      <c r="A159" s="549"/>
      <c r="B159" s="549"/>
      <c r="C159" s="549"/>
      <c r="D159" s="549"/>
      <c r="E159" s="549"/>
      <c r="F159" s="549"/>
      <c r="G159" s="549"/>
      <c r="H159" s="549"/>
      <c r="I159" s="549"/>
    </row>
    <row r="160" spans="1:9" s="533" customFormat="1">
      <c r="A160" s="549"/>
      <c r="B160" s="549"/>
      <c r="C160" s="549"/>
      <c r="D160" s="549"/>
      <c r="E160" s="549"/>
      <c r="F160" s="549"/>
      <c r="G160" s="549"/>
      <c r="H160" s="549"/>
      <c r="I160" s="549"/>
    </row>
    <row r="161" spans="1:9" s="533" customFormat="1">
      <c r="A161" s="549"/>
      <c r="B161" s="549"/>
      <c r="C161" s="549"/>
      <c r="D161" s="549"/>
      <c r="E161" s="549"/>
      <c r="F161" s="549"/>
      <c r="G161" s="549"/>
      <c r="H161" s="549"/>
      <c r="I161" s="549"/>
    </row>
    <row r="162" spans="1:9" s="533" customFormat="1">
      <c r="A162" s="549"/>
      <c r="B162" s="549"/>
      <c r="C162" s="549"/>
      <c r="D162" s="549"/>
      <c r="E162" s="549"/>
      <c r="F162" s="549"/>
      <c r="G162" s="549"/>
      <c r="H162" s="549"/>
      <c r="I162" s="549"/>
    </row>
    <row r="163" spans="1:9" s="533" customFormat="1">
      <c r="A163" s="549"/>
      <c r="B163" s="549"/>
      <c r="C163" s="549"/>
      <c r="D163" s="549"/>
      <c r="E163" s="549"/>
      <c r="F163" s="549"/>
      <c r="G163" s="549"/>
      <c r="H163" s="549"/>
      <c r="I163" s="549"/>
    </row>
    <row r="164" spans="1:9" s="533" customFormat="1">
      <c r="A164" s="549"/>
      <c r="B164" s="549"/>
      <c r="C164" s="549"/>
      <c r="D164" s="549"/>
      <c r="E164" s="549"/>
      <c r="F164" s="549"/>
      <c r="G164" s="549"/>
      <c r="H164" s="549"/>
      <c r="I164" s="549"/>
    </row>
    <row r="165" spans="1:9" s="533" customFormat="1">
      <c r="A165" s="549"/>
      <c r="B165" s="549"/>
      <c r="C165" s="549"/>
      <c r="D165" s="549"/>
      <c r="E165" s="549"/>
      <c r="F165" s="549"/>
      <c r="G165" s="549"/>
      <c r="H165" s="549"/>
      <c r="I165" s="549"/>
    </row>
    <row r="166" spans="1:9" s="533" customFormat="1">
      <c r="A166" s="549"/>
      <c r="B166" s="549"/>
      <c r="C166" s="549"/>
      <c r="D166" s="549"/>
      <c r="E166" s="549"/>
      <c r="F166" s="549"/>
      <c r="G166" s="549"/>
      <c r="H166" s="549"/>
      <c r="I166" s="549"/>
    </row>
    <row r="167" spans="1:9" s="533" customFormat="1">
      <c r="A167" s="549"/>
      <c r="B167" s="549"/>
      <c r="C167" s="549"/>
      <c r="D167" s="549"/>
      <c r="E167" s="549"/>
      <c r="F167" s="549"/>
      <c r="G167" s="549"/>
      <c r="H167" s="549"/>
      <c r="I167" s="549"/>
    </row>
    <row r="168" spans="1:9" s="533" customFormat="1">
      <c r="A168" s="549"/>
      <c r="B168" s="549"/>
      <c r="C168" s="549"/>
      <c r="D168" s="549"/>
      <c r="E168" s="549"/>
      <c r="F168" s="549"/>
      <c r="G168" s="549"/>
      <c r="H168" s="549"/>
      <c r="I168" s="549"/>
    </row>
    <row r="169" spans="1:9" s="533" customFormat="1">
      <c r="A169" s="549"/>
      <c r="B169" s="549"/>
      <c r="C169" s="549"/>
      <c r="D169" s="549"/>
      <c r="E169" s="549"/>
      <c r="F169" s="549"/>
      <c r="G169" s="549"/>
      <c r="H169" s="549"/>
      <c r="I169" s="549"/>
    </row>
    <row r="170" spans="1:9" s="533" customFormat="1">
      <c r="A170" s="549"/>
      <c r="B170" s="549"/>
      <c r="C170" s="549"/>
      <c r="D170" s="549"/>
      <c r="E170" s="549"/>
      <c r="F170" s="549"/>
      <c r="G170" s="549"/>
      <c r="H170" s="549"/>
      <c r="I170" s="549"/>
    </row>
    <row r="171" spans="1:9" s="533" customFormat="1">
      <c r="A171" s="549"/>
      <c r="B171" s="549"/>
      <c r="C171" s="549"/>
      <c r="D171" s="549"/>
      <c r="E171" s="549"/>
      <c r="F171" s="549"/>
      <c r="G171" s="549"/>
      <c r="H171" s="549"/>
      <c r="I171" s="549"/>
    </row>
    <row r="172" spans="1:9" s="533" customFormat="1">
      <c r="A172" s="549"/>
      <c r="B172" s="549"/>
      <c r="C172" s="549"/>
      <c r="D172" s="549"/>
      <c r="E172" s="549"/>
      <c r="F172" s="549"/>
      <c r="G172" s="549"/>
      <c r="H172" s="549"/>
      <c r="I172" s="549"/>
    </row>
    <row r="173" spans="1:9" s="533" customFormat="1">
      <c r="A173" s="549"/>
      <c r="B173" s="549"/>
      <c r="C173" s="549"/>
      <c r="D173" s="549"/>
      <c r="E173" s="549"/>
      <c r="F173" s="549"/>
      <c r="G173" s="549"/>
      <c r="H173" s="549"/>
      <c r="I173" s="549"/>
    </row>
    <row r="174" spans="1:9" s="533" customFormat="1">
      <c r="A174" s="549"/>
      <c r="B174" s="549"/>
      <c r="C174" s="549"/>
      <c r="D174" s="549"/>
      <c r="E174" s="549"/>
      <c r="F174" s="549"/>
      <c r="G174" s="549"/>
      <c r="H174" s="549"/>
      <c r="I174" s="549"/>
    </row>
    <row r="175" spans="1:9" s="533" customFormat="1">
      <c r="A175" s="549"/>
      <c r="B175" s="549"/>
      <c r="C175" s="549"/>
      <c r="D175" s="549"/>
      <c r="E175" s="549"/>
      <c r="F175" s="549"/>
      <c r="G175" s="549"/>
      <c r="H175" s="549"/>
      <c r="I175" s="549"/>
    </row>
    <row r="176" spans="1:9" s="533" customFormat="1">
      <c r="A176" s="549"/>
      <c r="B176" s="549"/>
      <c r="C176" s="549"/>
      <c r="D176" s="549"/>
      <c r="E176" s="549"/>
      <c r="F176" s="549"/>
      <c r="G176" s="549"/>
      <c r="H176" s="549"/>
      <c r="I176" s="549"/>
    </row>
    <row r="177" spans="1:9" s="533" customFormat="1">
      <c r="A177" s="549"/>
      <c r="B177" s="549"/>
      <c r="C177" s="549"/>
      <c r="D177" s="549"/>
      <c r="E177" s="549"/>
      <c r="F177" s="549"/>
      <c r="G177" s="549"/>
      <c r="H177" s="549"/>
      <c r="I177" s="549"/>
    </row>
    <row r="178" spans="1:9" s="533" customFormat="1">
      <c r="A178" s="549"/>
      <c r="B178" s="549"/>
      <c r="C178" s="549"/>
      <c r="D178" s="549"/>
      <c r="E178" s="549"/>
      <c r="F178" s="549"/>
      <c r="G178" s="549"/>
      <c r="H178" s="549"/>
      <c r="I178" s="549"/>
    </row>
    <row r="179" spans="1:9" s="533" customFormat="1">
      <c r="A179" s="549"/>
      <c r="B179" s="549"/>
      <c r="C179" s="549"/>
      <c r="D179" s="549"/>
      <c r="E179" s="549"/>
      <c r="F179" s="549"/>
      <c r="G179" s="549"/>
      <c r="H179" s="549"/>
      <c r="I179" s="549"/>
    </row>
    <row r="180" spans="1:9" s="533" customFormat="1">
      <c r="A180" s="549"/>
      <c r="B180" s="549"/>
      <c r="C180" s="549"/>
      <c r="D180" s="549"/>
      <c r="E180" s="549"/>
      <c r="F180" s="549"/>
      <c r="G180" s="549"/>
      <c r="H180" s="549"/>
      <c r="I180" s="549"/>
    </row>
    <row r="181" spans="1:9" s="533" customFormat="1">
      <c r="A181" s="549"/>
      <c r="B181" s="549"/>
      <c r="C181" s="549"/>
      <c r="D181" s="549"/>
      <c r="E181" s="549"/>
      <c r="F181" s="549"/>
      <c r="G181" s="549"/>
      <c r="H181" s="549"/>
      <c r="I181" s="549"/>
    </row>
    <row r="182" spans="1:9" s="533" customFormat="1">
      <c r="A182" s="549"/>
      <c r="B182" s="549"/>
      <c r="C182" s="549"/>
      <c r="D182" s="549"/>
      <c r="E182" s="549"/>
      <c r="F182" s="549"/>
      <c r="G182" s="549"/>
      <c r="H182" s="549"/>
      <c r="I182" s="549"/>
    </row>
    <row r="183" spans="1:9" s="533" customFormat="1">
      <c r="A183" s="549"/>
      <c r="B183" s="549"/>
      <c r="C183" s="549"/>
      <c r="D183" s="549"/>
      <c r="E183" s="549"/>
      <c r="F183" s="549"/>
      <c r="G183" s="549"/>
      <c r="H183" s="549"/>
      <c r="I183" s="549"/>
    </row>
    <row r="184" spans="1:9" s="533" customFormat="1">
      <c r="A184" s="549"/>
      <c r="B184" s="549"/>
      <c r="C184" s="549"/>
      <c r="D184" s="549"/>
      <c r="E184" s="549"/>
      <c r="F184" s="549"/>
      <c r="G184" s="549"/>
      <c r="H184" s="549"/>
      <c r="I184" s="549"/>
    </row>
    <row r="185" spans="1:9" s="533" customFormat="1">
      <c r="A185" s="549"/>
      <c r="B185" s="549"/>
      <c r="C185" s="549"/>
      <c r="D185" s="549"/>
      <c r="E185" s="549"/>
      <c r="F185" s="549"/>
      <c r="G185" s="549"/>
      <c r="H185" s="549"/>
      <c r="I185" s="549"/>
    </row>
    <row r="186" spans="1:9" s="533" customFormat="1">
      <c r="A186" s="549"/>
      <c r="B186" s="549"/>
      <c r="C186" s="549"/>
      <c r="D186" s="549"/>
      <c r="E186" s="549"/>
      <c r="F186" s="549"/>
      <c r="G186" s="549"/>
      <c r="H186" s="549"/>
      <c r="I186" s="549"/>
    </row>
    <row r="187" spans="1:9" s="533" customFormat="1">
      <c r="A187" s="549"/>
      <c r="B187" s="549"/>
      <c r="C187" s="549"/>
      <c r="D187" s="549"/>
      <c r="E187" s="549"/>
      <c r="F187" s="549"/>
      <c r="G187" s="549"/>
      <c r="H187" s="549"/>
      <c r="I187" s="549"/>
    </row>
    <row r="188" spans="1:9" s="533" customFormat="1">
      <c r="A188" s="549"/>
      <c r="B188" s="549"/>
      <c r="C188" s="549"/>
      <c r="D188" s="549"/>
      <c r="E188" s="549"/>
      <c r="F188" s="549"/>
      <c r="G188" s="549"/>
      <c r="H188" s="549"/>
      <c r="I188" s="549"/>
    </row>
    <row r="189" spans="1:9" s="533" customFormat="1">
      <c r="A189" s="549"/>
      <c r="B189" s="549"/>
      <c r="C189" s="549"/>
      <c r="D189" s="549"/>
      <c r="E189" s="549"/>
      <c r="F189" s="549"/>
      <c r="G189" s="549"/>
      <c r="H189" s="549"/>
      <c r="I189" s="549"/>
    </row>
    <row r="190" spans="1:9" s="533" customFormat="1">
      <c r="A190" s="549"/>
      <c r="B190" s="549"/>
      <c r="C190" s="549"/>
      <c r="D190" s="549"/>
      <c r="E190" s="549"/>
      <c r="F190" s="549"/>
      <c r="G190" s="549"/>
      <c r="H190" s="549"/>
      <c r="I190" s="549"/>
    </row>
    <row r="191" spans="1:9" s="533" customFormat="1">
      <c r="A191" s="549"/>
      <c r="B191" s="549"/>
      <c r="C191" s="549"/>
      <c r="D191" s="549"/>
      <c r="E191" s="549"/>
      <c r="F191" s="549"/>
      <c r="G191" s="549"/>
      <c r="H191" s="549"/>
      <c r="I191" s="549"/>
    </row>
    <row r="192" spans="1:9" s="533" customFormat="1">
      <c r="A192" s="549"/>
      <c r="B192" s="549"/>
      <c r="C192" s="549"/>
      <c r="D192" s="549"/>
      <c r="E192" s="549"/>
      <c r="F192" s="549"/>
      <c r="G192" s="549"/>
      <c r="H192" s="549"/>
      <c r="I192" s="549"/>
    </row>
    <row r="193" spans="1:9" s="533" customFormat="1">
      <c r="A193" s="549"/>
      <c r="B193" s="549"/>
      <c r="C193" s="549"/>
      <c r="D193" s="549"/>
      <c r="E193" s="549"/>
      <c r="F193" s="549"/>
      <c r="G193" s="549"/>
      <c r="H193" s="549"/>
      <c r="I193" s="549"/>
    </row>
    <row r="194" spans="1:9" s="533" customFormat="1">
      <c r="A194" s="549"/>
      <c r="B194" s="549"/>
      <c r="C194" s="549"/>
      <c r="D194" s="549"/>
      <c r="E194" s="549"/>
      <c r="F194" s="549"/>
      <c r="G194" s="549"/>
      <c r="H194" s="549"/>
      <c r="I194" s="549"/>
    </row>
    <row r="195" spans="1:9" s="533" customFormat="1">
      <c r="A195" s="549"/>
      <c r="B195" s="549"/>
      <c r="C195" s="549"/>
      <c r="D195" s="549"/>
      <c r="E195" s="549"/>
      <c r="F195" s="549"/>
      <c r="G195" s="549"/>
      <c r="H195" s="549"/>
      <c r="I195" s="549"/>
    </row>
    <row r="196" spans="1:9" s="533" customFormat="1">
      <c r="A196" s="549"/>
      <c r="B196" s="549"/>
      <c r="C196" s="549"/>
      <c r="D196" s="549"/>
      <c r="E196" s="549"/>
      <c r="F196" s="549"/>
      <c r="G196" s="549"/>
      <c r="H196" s="549"/>
      <c r="I196" s="549"/>
    </row>
    <row r="197" spans="1:9" s="533" customFormat="1">
      <c r="A197" s="549"/>
      <c r="B197" s="549"/>
      <c r="C197" s="549"/>
      <c r="D197" s="549"/>
      <c r="E197" s="549"/>
      <c r="F197" s="549"/>
      <c r="G197" s="549"/>
      <c r="H197" s="549"/>
      <c r="I197" s="549"/>
    </row>
    <row r="198" spans="1:9" s="533" customFormat="1">
      <c r="A198" s="549"/>
      <c r="B198" s="549"/>
      <c r="C198" s="549"/>
      <c r="D198" s="549"/>
      <c r="E198" s="549"/>
      <c r="F198" s="549"/>
      <c r="G198" s="549"/>
      <c r="H198" s="549"/>
      <c r="I198" s="549"/>
    </row>
    <row r="199" spans="1:9" s="533" customFormat="1">
      <c r="A199" s="549"/>
      <c r="B199" s="549"/>
      <c r="C199" s="549"/>
      <c r="D199" s="549"/>
      <c r="E199" s="549"/>
      <c r="F199" s="549"/>
      <c r="G199" s="549"/>
      <c r="H199" s="549"/>
      <c r="I199" s="549"/>
    </row>
    <row r="200" spans="1:9" s="533" customFormat="1">
      <c r="A200" s="549"/>
      <c r="B200" s="549"/>
      <c r="C200" s="549"/>
      <c r="D200" s="549"/>
      <c r="E200" s="549"/>
      <c r="F200" s="549"/>
      <c r="G200" s="549"/>
      <c r="H200" s="549"/>
      <c r="I200" s="549"/>
    </row>
    <row r="201" spans="1:9" s="533" customFormat="1">
      <c r="A201" s="549"/>
      <c r="B201" s="549"/>
      <c r="C201" s="549"/>
      <c r="D201" s="549"/>
      <c r="E201" s="549"/>
      <c r="F201" s="549"/>
      <c r="G201" s="549"/>
      <c r="H201" s="549"/>
      <c r="I201" s="549"/>
    </row>
    <row r="202" spans="1:9" s="533" customFormat="1">
      <c r="A202" s="549"/>
      <c r="B202" s="549"/>
      <c r="C202" s="549"/>
      <c r="D202" s="549"/>
      <c r="E202" s="549"/>
      <c r="F202" s="549"/>
      <c r="G202" s="549"/>
      <c r="H202" s="549"/>
      <c r="I202" s="549"/>
    </row>
    <row r="203" spans="1:9" s="533" customFormat="1">
      <c r="A203" s="549"/>
      <c r="B203" s="549"/>
      <c r="C203" s="549"/>
      <c r="D203" s="549"/>
      <c r="E203" s="549"/>
      <c r="F203" s="549"/>
      <c r="G203" s="549"/>
      <c r="H203" s="549"/>
      <c r="I203" s="549"/>
    </row>
    <row r="204" spans="1:9" s="533" customFormat="1">
      <c r="A204" s="549"/>
      <c r="B204" s="549"/>
      <c r="C204" s="549"/>
      <c r="D204" s="549"/>
      <c r="E204" s="549"/>
      <c r="F204" s="549"/>
      <c r="G204" s="549"/>
      <c r="H204" s="549"/>
      <c r="I204" s="549"/>
    </row>
    <row r="205" spans="1:9" s="533" customFormat="1">
      <c r="A205" s="549"/>
      <c r="B205" s="549"/>
      <c r="C205" s="549"/>
      <c r="D205" s="549"/>
      <c r="E205" s="549"/>
      <c r="F205" s="549"/>
      <c r="G205" s="549"/>
      <c r="H205" s="549"/>
      <c r="I205" s="549"/>
    </row>
    <row r="206" spans="1:9" s="533" customFormat="1">
      <c r="A206" s="549"/>
      <c r="B206" s="549"/>
      <c r="C206" s="549"/>
      <c r="D206" s="549"/>
      <c r="E206" s="549"/>
      <c r="F206" s="549"/>
      <c r="G206" s="549"/>
      <c r="H206" s="549"/>
      <c r="I206" s="549"/>
    </row>
    <row r="207" spans="1:9" s="533" customFormat="1">
      <c r="A207" s="549"/>
      <c r="B207" s="549"/>
      <c r="C207" s="549"/>
      <c r="D207" s="549"/>
      <c r="E207" s="549"/>
      <c r="F207" s="549"/>
      <c r="G207" s="549"/>
      <c r="H207" s="549"/>
      <c r="I207" s="549"/>
    </row>
    <row r="208" spans="1:9" s="533" customFormat="1">
      <c r="A208" s="549"/>
      <c r="B208" s="549"/>
      <c r="C208" s="549"/>
      <c r="D208" s="549"/>
      <c r="E208" s="549"/>
      <c r="F208" s="549"/>
      <c r="G208" s="549"/>
      <c r="H208" s="549"/>
      <c r="I208" s="549"/>
    </row>
    <row r="209" spans="1:9" s="533" customFormat="1">
      <c r="A209" s="549"/>
      <c r="B209" s="549"/>
      <c r="C209" s="549"/>
      <c r="D209" s="549"/>
      <c r="E209" s="549"/>
      <c r="F209" s="549"/>
      <c r="G209" s="549"/>
      <c r="H209" s="549"/>
      <c r="I209" s="549"/>
    </row>
    <row r="210" spans="1:9" s="533" customFormat="1">
      <c r="A210" s="549"/>
      <c r="B210" s="549"/>
      <c r="C210" s="549"/>
      <c r="D210" s="549"/>
      <c r="E210" s="549"/>
      <c r="F210" s="549"/>
      <c r="G210" s="549"/>
      <c r="H210" s="549"/>
      <c r="I210" s="549"/>
    </row>
    <row r="211" spans="1:9" s="533" customFormat="1">
      <c r="A211" s="549"/>
      <c r="B211" s="549"/>
      <c r="C211" s="549"/>
      <c r="D211" s="549"/>
      <c r="E211" s="549"/>
      <c r="F211" s="549"/>
      <c r="G211" s="549"/>
      <c r="H211" s="549"/>
      <c r="I211" s="549"/>
    </row>
    <row r="212" spans="1:9" s="533" customFormat="1">
      <c r="A212" s="549"/>
      <c r="B212" s="549"/>
      <c r="C212" s="549"/>
      <c r="D212" s="549"/>
      <c r="E212" s="549"/>
      <c r="F212" s="549"/>
      <c r="G212" s="549"/>
      <c r="H212" s="549"/>
      <c r="I212" s="549"/>
    </row>
    <row r="213" spans="1:9" s="533" customFormat="1">
      <c r="A213" s="549"/>
      <c r="B213" s="549"/>
      <c r="C213" s="549"/>
      <c r="D213" s="549"/>
      <c r="E213" s="549"/>
      <c r="F213" s="549"/>
      <c r="G213" s="549"/>
      <c r="H213" s="549"/>
      <c r="I213" s="549"/>
    </row>
    <row r="214" spans="1:9" s="533" customFormat="1">
      <c r="A214" s="549"/>
      <c r="B214" s="549"/>
      <c r="C214" s="549"/>
      <c r="D214" s="549"/>
      <c r="E214" s="549"/>
      <c r="F214" s="549"/>
      <c r="G214" s="549"/>
      <c r="H214" s="549"/>
      <c r="I214" s="549"/>
    </row>
    <row r="215" spans="1:9" s="533" customFormat="1">
      <c r="A215" s="549"/>
      <c r="B215" s="549"/>
      <c r="C215" s="549"/>
      <c r="D215" s="549"/>
      <c r="E215" s="549"/>
      <c r="F215" s="549"/>
      <c r="G215" s="549"/>
      <c r="H215" s="549"/>
      <c r="I215" s="549"/>
    </row>
    <row r="216" spans="1:9" s="533" customFormat="1">
      <c r="A216" s="549"/>
      <c r="B216" s="549"/>
      <c r="C216" s="549"/>
      <c r="D216" s="549"/>
      <c r="E216" s="549"/>
      <c r="F216" s="549"/>
      <c r="G216" s="549"/>
      <c r="H216" s="549"/>
      <c r="I216" s="549"/>
    </row>
    <row r="217" spans="1:9" s="533" customFormat="1">
      <c r="A217" s="549"/>
      <c r="B217" s="549"/>
      <c r="C217" s="549"/>
      <c r="D217" s="549"/>
      <c r="E217" s="549"/>
      <c r="F217" s="549"/>
      <c r="G217" s="549"/>
      <c r="H217" s="549"/>
      <c r="I217" s="549"/>
    </row>
    <row r="218" spans="1:9" s="533" customFormat="1">
      <c r="A218" s="549"/>
      <c r="B218" s="549"/>
      <c r="C218" s="549"/>
      <c r="D218" s="549"/>
      <c r="E218" s="549"/>
      <c r="F218" s="549"/>
      <c r="G218" s="549"/>
      <c r="H218" s="549"/>
      <c r="I218" s="549"/>
    </row>
    <row r="219" spans="1:9" s="533" customFormat="1">
      <c r="A219" s="549"/>
      <c r="B219" s="549"/>
      <c r="C219" s="549"/>
      <c r="D219" s="549"/>
      <c r="E219" s="549"/>
      <c r="F219" s="549"/>
      <c r="G219" s="549"/>
      <c r="H219" s="549"/>
      <c r="I219" s="549"/>
    </row>
    <row r="220" spans="1:9" s="533" customFormat="1">
      <c r="A220" s="549"/>
      <c r="B220" s="549"/>
      <c r="C220" s="549"/>
      <c r="D220" s="549"/>
      <c r="E220" s="549"/>
      <c r="F220" s="549"/>
      <c r="G220" s="549"/>
      <c r="H220" s="549"/>
      <c r="I220" s="549"/>
    </row>
    <row r="221" spans="1:9" s="533" customFormat="1">
      <c r="A221" s="549"/>
      <c r="B221" s="549"/>
      <c r="C221" s="549"/>
      <c r="D221" s="549"/>
      <c r="E221" s="549"/>
      <c r="F221" s="549"/>
      <c r="G221" s="549"/>
      <c r="H221" s="549"/>
      <c r="I221" s="549"/>
    </row>
    <row r="222" spans="1:9" s="533" customFormat="1">
      <c r="A222" s="549"/>
      <c r="B222" s="549"/>
      <c r="C222" s="549"/>
      <c r="D222" s="549"/>
      <c r="E222" s="549"/>
      <c r="F222" s="549"/>
      <c r="G222" s="549"/>
      <c r="H222" s="549"/>
      <c r="I222" s="549"/>
    </row>
    <row r="223" spans="1:9" s="533" customFormat="1">
      <c r="A223" s="549"/>
      <c r="B223" s="549"/>
      <c r="C223" s="549"/>
      <c r="D223" s="549"/>
      <c r="E223" s="549"/>
      <c r="F223" s="549"/>
      <c r="G223" s="549"/>
      <c r="H223" s="549"/>
      <c r="I223" s="549"/>
    </row>
    <row r="224" spans="1:9" s="533" customFormat="1">
      <c r="A224" s="549"/>
      <c r="B224" s="549"/>
      <c r="C224" s="549"/>
      <c r="D224" s="549"/>
      <c r="E224" s="549"/>
      <c r="F224" s="549"/>
      <c r="G224" s="549"/>
      <c r="H224" s="549"/>
      <c r="I224" s="549"/>
    </row>
    <row r="225" spans="1:9" s="533" customFormat="1">
      <c r="A225" s="549"/>
      <c r="B225" s="549"/>
      <c r="C225" s="549"/>
      <c r="D225" s="549"/>
      <c r="E225" s="549"/>
      <c r="F225" s="549"/>
      <c r="G225" s="549"/>
      <c r="H225" s="549"/>
      <c r="I225" s="549"/>
    </row>
    <row r="226" spans="1:9" s="533" customFormat="1">
      <c r="A226" s="549"/>
      <c r="B226" s="549"/>
      <c r="C226" s="549"/>
      <c r="D226" s="549"/>
      <c r="E226" s="549"/>
      <c r="F226" s="549"/>
      <c r="G226" s="549"/>
      <c r="H226" s="549"/>
      <c r="I226" s="549"/>
    </row>
    <row r="227" spans="1:9" s="533" customFormat="1">
      <c r="A227" s="549"/>
      <c r="B227" s="549"/>
      <c r="C227" s="549"/>
      <c r="D227" s="549"/>
      <c r="E227" s="549"/>
      <c r="F227" s="549"/>
      <c r="G227" s="549"/>
      <c r="H227" s="549"/>
      <c r="I227" s="549"/>
    </row>
    <row r="228" spans="1:9" s="533" customFormat="1">
      <c r="A228" s="549"/>
      <c r="B228" s="549"/>
      <c r="C228" s="549"/>
      <c r="D228" s="549"/>
      <c r="E228" s="549"/>
      <c r="F228" s="549"/>
      <c r="G228" s="549"/>
      <c r="H228" s="549"/>
      <c r="I228" s="549"/>
    </row>
    <row r="229" spans="1:9" s="533" customFormat="1">
      <c r="A229" s="549"/>
      <c r="B229" s="549"/>
      <c r="C229" s="549"/>
      <c r="D229" s="549"/>
      <c r="E229" s="549"/>
      <c r="F229" s="549"/>
      <c r="G229" s="549"/>
      <c r="H229" s="549"/>
      <c r="I229" s="549"/>
    </row>
    <row r="230" spans="1:9" s="533" customFormat="1">
      <c r="A230" s="549"/>
      <c r="B230" s="549"/>
      <c r="C230" s="549"/>
      <c r="D230" s="549"/>
      <c r="E230" s="549"/>
      <c r="F230" s="549"/>
      <c r="G230" s="549"/>
      <c r="H230" s="549"/>
      <c r="I230" s="549"/>
    </row>
    <row r="231" spans="1:9" s="533" customFormat="1">
      <c r="A231" s="549"/>
      <c r="B231" s="549"/>
      <c r="C231" s="549"/>
      <c r="D231" s="549"/>
      <c r="E231" s="549"/>
      <c r="F231" s="549"/>
      <c r="G231" s="549"/>
      <c r="H231" s="549"/>
      <c r="I231" s="549"/>
    </row>
    <row r="232" spans="1:9" s="533" customFormat="1">
      <c r="A232" s="549"/>
      <c r="B232" s="549"/>
      <c r="C232" s="549"/>
      <c r="D232" s="549"/>
      <c r="E232" s="549"/>
      <c r="F232" s="549"/>
      <c r="G232" s="549"/>
      <c r="H232" s="549"/>
      <c r="I232" s="549"/>
    </row>
    <row r="233" spans="1:9" s="533" customFormat="1">
      <c r="A233" s="549"/>
      <c r="B233" s="549"/>
      <c r="C233" s="549"/>
      <c r="D233" s="549"/>
      <c r="E233" s="549"/>
      <c r="F233" s="549"/>
      <c r="G233" s="549"/>
      <c r="H233" s="549"/>
      <c r="I233" s="549"/>
    </row>
    <row r="234" spans="1:9" s="533" customFormat="1">
      <c r="A234" s="549"/>
      <c r="B234" s="549"/>
      <c r="C234" s="549"/>
      <c r="D234" s="549"/>
      <c r="E234" s="549"/>
      <c r="F234" s="549"/>
      <c r="G234" s="549"/>
      <c r="H234" s="549"/>
      <c r="I234" s="549"/>
    </row>
    <row r="235" spans="1:9" s="533" customFormat="1" ht="15" customHeight="1">
      <c r="A235" s="549"/>
      <c r="B235" s="549"/>
      <c r="C235" s="549"/>
      <c r="D235" s="549"/>
      <c r="E235" s="549"/>
      <c r="F235" s="549"/>
      <c r="G235" s="549"/>
      <c r="H235" s="549"/>
      <c r="I235" s="549"/>
    </row>
    <row r="236" spans="1:9" s="533" customFormat="1">
      <c r="A236" s="549"/>
      <c r="B236" s="549"/>
      <c r="C236" s="549"/>
      <c r="D236" s="549"/>
      <c r="E236" s="549"/>
      <c r="F236" s="549"/>
      <c r="G236" s="549"/>
      <c r="H236" s="549"/>
      <c r="I236" s="549"/>
    </row>
    <row r="237" spans="1:9" s="533" customFormat="1">
      <c r="A237" s="549"/>
      <c r="B237" s="549"/>
      <c r="C237" s="549"/>
      <c r="D237" s="549"/>
      <c r="E237" s="549"/>
      <c r="F237" s="549"/>
      <c r="G237" s="549"/>
      <c r="H237" s="549"/>
      <c r="I237" s="549"/>
    </row>
    <row r="238" spans="1:9" s="533" customFormat="1">
      <c r="A238" s="549"/>
      <c r="B238" s="549"/>
      <c r="C238" s="549"/>
      <c r="D238" s="549"/>
      <c r="E238" s="549"/>
      <c r="F238" s="549"/>
      <c r="G238" s="549"/>
      <c r="H238" s="549"/>
      <c r="I238" s="549"/>
    </row>
    <row r="239" spans="1:9" s="533" customFormat="1">
      <c r="A239" s="549"/>
      <c r="B239" s="549"/>
      <c r="C239" s="549"/>
      <c r="D239" s="549"/>
      <c r="E239" s="549"/>
      <c r="F239" s="549"/>
      <c r="G239" s="549"/>
      <c r="H239" s="549"/>
      <c r="I239" s="549"/>
    </row>
    <row r="240" spans="1:9" s="533" customFormat="1">
      <c r="A240" s="549"/>
      <c r="B240" s="549"/>
      <c r="C240" s="549"/>
      <c r="D240" s="549"/>
      <c r="E240" s="549"/>
      <c r="F240" s="549"/>
      <c r="G240" s="549"/>
      <c r="H240" s="549"/>
      <c r="I240" s="549"/>
    </row>
    <row r="241" spans="1:9" s="533" customFormat="1">
      <c r="A241" s="549"/>
      <c r="B241" s="549"/>
      <c r="C241" s="549"/>
      <c r="D241" s="549"/>
      <c r="E241" s="549"/>
      <c r="F241" s="549"/>
      <c r="G241" s="549"/>
      <c r="H241" s="549"/>
      <c r="I241" s="549"/>
    </row>
    <row r="242" spans="1:9" s="533" customFormat="1">
      <c r="A242" s="549"/>
      <c r="B242" s="549"/>
      <c r="C242" s="549"/>
      <c r="D242" s="549"/>
      <c r="E242" s="549"/>
      <c r="F242" s="549"/>
      <c r="G242" s="549"/>
      <c r="H242" s="549"/>
      <c r="I242" s="549"/>
    </row>
    <row r="243" spans="1:9" s="533" customFormat="1">
      <c r="A243" s="549"/>
      <c r="B243" s="549"/>
      <c r="C243" s="549"/>
      <c r="D243" s="549"/>
      <c r="E243" s="549"/>
      <c r="F243" s="549"/>
      <c r="G243" s="549"/>
      <c r="H243" s="549"/>
      <c r="I243" s="549"/>
    </row>
    <row r="244" spans="1:9" s="530" customFormat="1">
      <c r="A244" s="549"/>
      <c r="B244" s="549"/>
      <c r="C244" s="549"/>
      <c r="D244" s="549"/>
      <c r="E244" s="549"/>
      <c r="F244" s="549"/>
      <c r="G244" s="549"/>
      <c r="H244" s="549"/>
      <c r="I244" s="549"/>
    </row>
    <row r="245" spans="1:9" s="530" customFormat="1">
      <c r="A245" s="549"/>
      <c r="B245" s="549"/>
      <c r="C245" s="549"/>
      <c r="D245" s="549"/>
      <c r="E245" s="549"/>
      <c r="F245" s="549"/>
      <c r="G245" s="549"/>
      <c r="H245" s="549"/>
      <c r="I245" s="549"/>
    </row>
    <row r="246" spans="1:9" s="530" customFormat="1">
      <c r="A246" s="549"/>
      <c r="B246" s="549"/>
      <c r="C246" s="549"/>
      <c r="D246" s="549"/>
      <c r="E246" s="549"/>
      <c r="F246" s="549"/>
      <c r="G246" s="549"/>
      <c r="H246" s="549"/>
      <c r="I246" s="549"/>
    </row>
    <row r="247" spans="1:9" s="530" customFormat="1">
      <c r="A247" s="549"/>
      <c r="B247" s="549"/>
      <c r="C247" s="549"/>
      <c r="D247" s="549"/>
      <c r="E247" s="549"/>
      <c r="F247" s="549"/>
      <c r="G247" s="549"/>
      <c r="H247" s="549"/>
      <c r="I247" s="549"/>
    </row>
    <row r="248" spans="1:9" s="530" customFormat="1">
      <c r="A248" s="549"/>
      <c r="B248" s="549"/>
      <c r="C248" s="549"/>
      <c r="D248" s="549"/>
      <c r="E248" s="549"/>
      <c r="F248" s="549"/>
      <c r="G248" s="549"/>
      <c r="H248" s="549"/>
      <c r="I248" s="549"/>
    </row>
    <row r="249" spans="1:9" s="530" customFormat="1">
      <c r="A249" s="549"/>
      <c r="B249" s="549"/>
      <c r="C249" s="549"/>
      <c r="D249" s="549"/>
      <c r="E249" s="549"/>
      <c r="F249" s="549"/>
      <c r="G249" s="549"/>
      <c r="H249" s="549"/>
      <c r="I249" s="549"/>
    </row>
    <row r="250" spans="1:9" s="530" customFormat="1">
      <c r="A250" s="549"/>
      <c r="B250" s="549"/>
      <c r="C250" s="549"/>
      <c r="D250" s="549"/>
      <c r="E250" s="549"/>
      <c r="F250" s="549"/>
      <c r="G250" s="549"/>
      <c r="H250" s="549"/>
      <c r="I250" s="549"/>
    </row>
    <row r="251" spans="1:9" s="530" customFormat="1">
      <c r="A251" s="549"/>
      <c r="B251" s="549"/>
      <c r="C251" s="549"/>
      <c r="D251" s="549"/>
      <c r="E251" s="549"/>
      <c r="F251" s="549"/>
      <c r="G251" s="549"/>
      <c r="H251" s="549"/>
      <c r="I251" s="549"/>
    </row>
    <row r="252" spans="1:9" s="530" customFormat="1">
      <c r="A252" s="549"/>
      <c r="B252" s="549"/>
      <c r="C252" s="549"/>
      <c r="D252" s="549"/>
      <c r="E252" s="549"/>
      <c r="F252" s="549"/>
      <c r="G252" s="549"/>
      <c r="H252" s="549"/>
      <c r="I252" s="549"/>
    </row>
    <row r="253" spans="1:9" s="530" customFormat="1">
      <c r="A253" s="549"/>
      <c r="B253" s="549"/>
      <c r="C253" s="549"/>
      <c r="D253" s="549"/>
      <c r="E253" s="549"/>
      <c r="F253" s="549"/>
      <c r="G253" s="549"/>
      <c r="H253" s="549"/>
      <c r="I253" s="549"/>
    </row>
    <row r="254" spans="1:9" s="530" customFormat="1">
      <c r="A254" s="549"/>
      <c r="B254" s="549"/>
      <c r="C254" s="549"/>
      <c r="D254" s="549"/>
      <c r="E254" s="549"/>
      <c r="F254" s="549"/>
      <c r="G254" s="549"/>
      <c r="H254" s="549"/>
      <c r="I254" s="549"/>
    </row>
    <row r="255" spans="1:9" s="530" customFormat="1">
      <c r="A255" s="549"/>
      <c r="B255" s="549"/>
      <c r="C255" s="549"/>
      <c r="D255" s="549"/>
      <c r="E255" s="549"/>
      <c r="F255" s="549"/>
      <c r="G255" s="549"/>
      <c r="H255" s="549"/>
      <c r="I255" s="549"/>
    </row>
    <row r="256" spans="1:9" s="530" customFormat="1">
      <c r="A256" s="549"/>
      <c r="B256" s="549"/>
      <c r="C256" s="549"/>
      <c r="D256" s="549"/>
      <c r="E256" s="549"/>
      <c r="F256" s="549"/>
      <c r="G256" s="549"/>
      <c r="H256" s="549"/>
      <c r="I256" s="549"/>
    </row>
    <row r="257" spans="1:9" s="530" customFormat="1">
      <c r="A257" s="549"/>
      <c r="B257" s="549"/>
      <c r="C257" s="549"/>
      <c r="D257" s="549"/>
      <c r="E257" s="549"/>
      <c r="F257" s="549"/>
      <c r="G257" s="549"/>
      <c r="H257" s="549"/>
      <c r="I257" s="549"/>
    </row>
    <row r="258" spans="1:9" s="530" customFormat="1">
      <c r="A258" s="549"/>
      <c r="B258" s="549"/>
      <c r="C258" s="549"/>
      <c r="D258" s="549"/>
      <c r="E258" s="549"/>
      <c r="F258" s="549"/>
      <c r="G258" s="549"/>
      <c r="H258" s="549"/>
      <c r="I258" s="549"/>
    </row>
    <row r="259" spans="1:9" s="530" customFormat="1">
      <c r="A259" s="549"/>
      <c r="B259" s="549"/>
      <c r="C259" s="549"/>
      <c r="D259" s="549"/>
      <c r="E259" s="549"/>
      <c r="F259" s="549"/>
      <c r="G259" s="549"/>
      <c r="H259" s="549"/>
      <c r="I259" s="549"/>
    </row>
    <row r="260" spans="1:9" s="530" customFormat="1">
      <c r="A260" s="549"/>
      <c r="B260" s="549"/>
      <c r="C260" s="549"/>
      <c r="D260" s="549"/>
      <c r="E260" s="549"/>
      <c r="F260" s="549"/>
      <c r="G260" s="549"/>
      <c r="H260" s="549"/>
      <c r="I260" s="549"/>
    </row>
    <row r="261" spans="1:9" s="530" customFormat="1">
      <c r="A261" s="549"/>
      <c r="B261" s="549"/>
      <c r="C261" s="549"/>
      <c r="D261" s="549"/>
      <c r="E261" s="549"/>
      <c r="F261" s="549"/>
      <c r="G261" s="549"/>
      <c r="H261" s="549"/>
      <c r="I261" s="549"/>
    </row>
    <row r="262" spans="1:9" s="530" customFormat="1">
      <c r="A262" s="549"/>
      <c r="B262" s="549"/>
      <c r="C262" s="549"/>
      <c r="D262" s="549"/>
      <c r="E262" s="549"/>
      <c r="F262" s="549"/>
      <c r="G262" s="549"/>
      <c r="H262" s="549"/>
      <c r="I262" s="549"/>
    </row>
    <row r="263" spans="1:9" s="530" customFormat="1">
      <c r="A263" s="549"/>
      <c r="B263" s="549"/>
      <c r="C263" s="549"/>
      <c r="D263" s="549"/>
      <c r="E263" s="549"/>
      <c r="F263" s="549"/>
      <c r="G263" s="549"/>
      <c r="H263" s="549"/>
      <c r="I263" s="549"/>
    </row>
    <row r="264" spans="1:9" s="530" customFormat="1">
      <c r="A264" s="549"/>
      <c r="B264" s="549"/>
      <c r="C264" s="549"/>
      <c r="D264" s="549"/>
      <c r="E264" s="549"/>
      <c r="F264" s="549"/>
      <c r="G264" s="549"/>
      <c r="H264" s="549"/>
      <c r="I264" s="549"/>
    </row>
    <row r="265" spans="1:9" s="530" customFormat="1">
      <c r="A265" s="549"/>
      <c r="B265" s="549"/>
      <c r="C265" s="549"/>
      <c r="D265" s="549"/>
      <c r="E265" s="549"/>
      <c r="F265" s="549"/>
      <c r="G265" s="549"/>
      <c r="H265" s="549"/>
      <c r="I265" s="549"/>
    </row>
    <row r="266" spans="1:9" s="530" customFormat="1">
      <c r="A266" s="549"/>
      <c r="B266" s="549"/>
      <c r="C266" s="549"/>
      <c r="D266" s="549"/>
      <c r="E266" s="549"/>
      <c r="F266" s="549"/>
      <c r="G266" s="549"/>
      <c r="H266" s="549"/>
      <c r="I266" s="549"/>
    </row>
    <row r="267" spans="1:9" s="530" customFormat="1">
      <c r="A267" s="549"/>
      <c r="B267" s="549"/>
      <c r="C267" s="549"/>
      <c r="D267" s="549"/>
      <c r="E267" s="549"/>
      <c r="F267" s="549"/>
      <c r="G267" s="549"/>
      <c r="H267" s="549"/>
      <c r="I267" s="549"/>
    </row>
    <row r="268" spans="1:9" s="530" customFormat="1">
      <c r="A268" s="549"/>
      <c r="B268" s="549"/>
      <c r="C268" s="549"/>
      <c r="D268" s="549"/>
      <c r="E268" s="549"/>
      <c r="F268" s="549"/>
      <c r="G268" s="549"/>
      <c r="H268" s="549"/>
      <c r="I268" s="549"/>
    </row>
    <row r="269" spans="1:9" s="530" customFormat="1">
      <c r="A269" s="549"/>
      <c r="B269" s="549"/>
      <c r="C269" s="549"/>
      <c r="D269" s="549"/>
      <c r="E269" s="549"/>
      <c r="F269" s="549"/>
      <c r="G269" s="549"/>
      <c r="H269" s="549"/>
      <c r="I269" s="549"/>
    </row>
    <row r="270" spans="1:9" s="530" customFormat="1">
      <c r="A270" s="549"/>
      <c r="B270" s="549"/>
      <c r="C270" s="549"/>
      <c r="D270" s="549"/>
      <c r="E270" s="549"/>
      <c r="F270" s="549"/>
      <c r="G270" s="549"/>
      <c r="H270" s="549"/>
      <c r="I270" s="549"/>
    </row>
    <row r="271" spans="1:9" s="530" customFormat="1">
      <c r="A271" s="549"/>
      <c r="B271" s="549"/>
      <c r="C271" s="549"/>
      <c r="D271" s="549"/>
      <c r="E271" s="549"/>
      <c r="F271" s="549"/>
      <c r="G271" s="549"/>
      <c r="H271" s="549"/>
      <c r="I271" s="549"/>
    </row>
    <row r="272" spans="1:9" s="530" customFormat="1">
      <c r="A272" s="549"/>
      <c r="B272" s="549"/>
      <c r="C272" s="549"/>
      <c r="D272" s="549"/>
      <c r="E272" s="549"/>
      <c r="F272" s="549"/>
      <c r="G272" s="549"/>
      <c r="H272" s="549"/>
      <c r="I272" s="549"/>
    </row>
    <row r="273" spans="1:9" s="530" customFormat="1">
      <c r="A273" s="549"/>
      <c r="B273" s="549"/>
      <c r="C273" s="549"/>
      <c r="D273" s="549"/>
      <c r="E273" s="549"/>
      <c r="F273" s="549"/>
      <c r="G273" s="549"/>
      <c r="H273" s="549"/>
      <c r="I273" s="549"/>
    </row>
    <row r="274" spans="1:9" s="530" customFormat="1">
      <c r="A274" s="549"/>
      <c r="B274" s="549"/>
      <c r="C274" s="549"/>
      <c r="D274" s="549"/>
      <c r="E274" s="549"/>
      <c r="F274" s="549"/>
      <c r="G274" s="549"/>
      <c r="H274" s="549"/>
      <c r="I274" s="549"/>
    </row>
    <row r="275" spans="1:9" s="530" customFormat="1">
      <c r="A275" s="549"/>
      <c r="B275" s="549"/>
      <c r="C275" s="549"/>
      <c r="D275" s="549"/>
      <c r="E275" s="549"/>
      <c r="F275" s="549"/>
      <c r="G275" s="549"/>
      <c r="H275" s="549"/>
      <c r="I275" s="549"/>
    </row>
    <row r="276" spans="1:9" s="530" customFormat="1">
      <c r="A276" s="549"/>
      <c r="B276" s="549"/>
      <c r="C276" s="549"/>
      <c r="D276" s="549"/>
      <c r="E276" s="549"/>
      <c r="F276" s="549"/>
      <c r="G276" s="549"/>
      <c r="H276" s="549"/>
      <c r="I276" s="549"/>
    </row>
    <row r="277" spans="1:9" s="530" customFormat="1">
      <c r="A277" s="549"/>
      <c r="B277" s="549"/>
      <c r="C277" s="549"/>
      <c r="D277" s="549"/>
      <c r="E277" s="549"/>
      <c r="F277" s="549"/>
      <c r="G277" s="549"/>
      <c r="H277" s="549"/>
      <c r="I277" s="549"/>
    </row>
    <row r="278" spans="1:9" s="530" customFormat="1">
      <c r="A278" s="549"/>
      <c r="B278" s="549"/>
      <c r="C278" s="549"/>
      <c r="D278" s="549"/>
      <c r="E278" s="549"/>
      <c r="F278" s="549"/>
      <c r="G278" s="549"/>
      <c r="H278" s="549"/>
      <c r="I278" s="549"/>
    </row>
    <row r="279" spans="1:9" s="530" customFormat="1">
      <c r="A279" s="549"/>
      <c r="B279" s="549"/>
      <c r="C279" s="549"/>
      <c r="D279" s="549"/>
      <c r="E279" s="549"/>
      <c r="F279" s="549"/>
      <c r="G279" s="549"/>
      <c r="H279" s="549"/>
      <c r="I279" s="549"/>
    </row>
    <row r="280" spans="1:9" s="530" customFormat="1">
      <c r="A280" s="549"/>
      <c r="B280" s="549"/>
      <c r="C280" s="549"/>
      <c r="D280" s="549"/>
      <c r="E280" s="549"/>
      <c r="F280" s="549"/>
      <c r="G280" s="549"/>
      <c r="H280" s="549"/>
      <c r="I280" s="549"/>
    </row>
    <row r="281" spans="1:9" s="530" customFormat="1">
      <c r="A281" s="549"/>
      <c r="B281" s="549"/>
      <c r="C281" s="549"/>
      <c r="D281" s="549"/>
      <c r="E281" s="549"/>
      <c r="F281" s="549"/>
      <c r="G281" s="549"/>
      <c r="H281" s="549"/>
      <c r="I281" s="549"/>
    </row>
    <row r="282" spans="1:9" s="530" customFormat="1">
      <c r="A282" s="549"/>
      <c r="B282" s="549"/>
      <c r="C282" s="549"/>
      <c r="D282" s="549"/>
      <c r="E282" s="549"/>
      <c r="F282" s="549"/>
      <c r="G282" s="549"/>
      <c r="H282" s="549"/>
      <c r="I282" s="549"/>
    </row>
    <row r="283" spans="1:9" s="530" customFormat="1" ht="25.5" customHeight="1">
      <c r="A283" s="549"/>
      <c r="B283" s="549"/>
      <c r="C283" s="549"/>
      <c r="D283" s="549"/>
      <c r="E283" s="549"/>
      <c r="F283" s="549"/>
      <c r="G283" s="549"/>
      <c r="H283" s="549"/>
      <c r="I283" s="549"/>
    </row>
    <row r="284" spans="1:9" s="530" customFormat="1">
      <c r="A284" s="549"/>
      <c r="B284" s="549"/>
      <c r="C284" s="549"/>
      <c r="D284" s="549"/>
      <c r="E284" s="549"/>
      <c r="F284" s="549"/>
      <c r="G284" s="549"/>
      <c r="H284" s="549"/>
      <c r="I284" s="549"/>
    </row>
    <row r="285" spans="1:9" s="530" customFormat="1">
      <c r="A285" s="549"/>
      <c r="B285" s="549"/>
      <c r="C285" s="549"/>
      <c r="D285" s="549"/>
      <c r="E285" s="549"/>
      <c r="F285" s="549"/>
      <c r="G285" s="549"/>
      <c r="H285" s="549"/>
      <c r="I285" s="549"/>
    </row>
    <row r="286" spans="1:9" s="530" customFormat="1">
      <c r="A286" s="549"/>
      <c r="B286" s="549"/>
      <c r="C286" s="549"/>
      <c r="D286" s="549"/>
      <c r="E286" s="549"/>
      <c r="F286" s="549"/>
      <c r="G286" s="549"/>
      <c r="H286" s="549"/>
      <c r="I286" s="549"/>
    </row>
    <row r="287" spans="1:9" s="530" customFormat="1">
      <c r="A287" s="549"/>
      <c r="B287" s="549"/>
      <c r="C287" s="549"/>
      <c r="D287" s="549"/>
      <c r="E287" s="549"/>
      <c r="F287" s="549"/>
      <c r="G287" s="549"/>
      <c r="H287" s="549"/>
      <c r="I287" s="549"/>
    </row>
    <row r="288" spans="1:9" s="530" customFormat="1">
      <c r="A288" s="549"/>
      <c r="B288" s="549"/>
      <c r="C288" s="549"/>
      <c r="D288" s="549"/>
      <c r="E288" s="549"/>
      <c r="F288" s="549"/>
      <c r="G288" s="549"/>
      <c r="H288" s="549"/>
      <c r="I288" s="549"/>
    </row>
    <row r="289" spans="1:14" s="530" customFormat="1">
      <c r="A289" s="549"/>
      <c r="B289" s="549"/>
      <c r="C289" s="549"/>
      <c r="D289" s="549"/>
      <c r="E289" s="549"/>
      <c r="F289" s="549"/>
      <c r="G289" s="549"/>
      <c r="H289" s="549"/>
      <c r="I289" s="549"/>
    </row>
    <row r="290" spans="1:14" s="530" customFormat="1">
      <c r="A290" s="549"/>
      <c r="B290" s="549"/>
      <c r="C290" s="549"/>
      <c r="D290" s="549"/>
      <c r="E290" s="549"/>
      <c r="F290" s="549"/>
      <c r="G290" s="549"/>
      <c r="H290" s="549"/>
      <c r="I290" s="549"/>
    </row>
    <row r="291" spans="1:14" s="530" customFormat="1">
      <c r="A291" s="549"/>
      <c r="B291" s="549"/>
      <c r="C291" s="549"/>
      <c r="D291" s="549"/>
      <c r="E291" s="549"/>
      <c r="F291" s="549"/>
      <c r="G291" s="549"/>
      <c r="H291" s="549"/>
      <c r="I291" s="549"/>
    </row>
    <row r="292" spans="1:14" s="530" customFormat="1">
      <c r="A292" s="549"/>
      <c r="B292" s="549"/>
      <c r="C292" s="549"/>
      <c r="D292" s="549"/>
      <c r="E292" s="549"/>
      <c r="F292" s="549"/>
      <c r="G292" s="549"/>
      <c r="H292" s="549"/>
      <c r="I292" s="549"/>
      <c r="J292" s="555"/>
      <c r="K292" s="555"/>
      <c r="L292" s="533"/>
      <c r="M292" s="533"/>
      <c r="N292" s="533"/>
    </row>
    <row r="293" spans="1:14" s="530" customFormat="1" ht="15" customHeight="1">
      <c r="A293" s="549"/>
      <c r="B293" s="549"/>
      <c r="C293" s="549"/>
      <c r="D293" s="549"/>
      <c r="E293" s="549"/>
      <c r="F293" s="549"/>
      <c r="G293" s="549"/>
      <c r="H293" s="549"/>
      <c r="I293" s="549"/>
      <c r="J293" s="563"/>
      <c r="K293" s="563"/>
      <c r="L293" s="564"/>
      <c r="M293" s="533"/>
      <c r="N293" s="533"/>
    </row>
    <row r="294" spans="1:14" s="530" customFormat="1">
      <c r="A294" s="549"/>
      <c r="B294" s="549"/>
      <c r="C294" s="549"/>
      <c r="D294" s="549"/>
      <c r="E294" s="549"/>
      <c r="F294" s="549"/>
      <c r="G294" s="549"/>
      <c r="H294" s="549"/>
      <c r="I294" s="549"/>
      <c r="J294" s="533"/>
      <c r="K294" s="533"/>
      <c r="L294" s="568"/>
      <c r="M294" s="533"/>
      <c r="N294" s="533"/>
    </row>
    <row r="295" spans="1:14" s="530" customFormat="1">
      <c r="A295" s="549"/>
      <c r="B295" s="549"/>
      <c r="C295" s="549"/>
      <c r="D295" s="549"/>
      <c r="E295" s="549"/>
      <c r="F295" s="549"/>
      <c r="G295" s="549"/>
      <c r="H295" s="549"/>
      <c r="I295" s="549"/>
      <c r="J295" s="533"/>
      <c r="K295" s="533"/>
      <c r="L295" s="568"/>
      <c r="M295" s="533"/>
      <c r="N295" s="533"/>
    </row>
    <row r="296" spans="1:14" s="530" customFormat="1">
      <c r="A296" s="549"/>
      <c r="B296" s="549"/>
      <c r="C296" s="549"/>
      <c r="D296" s="549"/>
      <c r="E296" s="549"/>
      <c r="F296" s="549"/>
      <c r="G296" s="549"/>
      <c r="H296" s="549"/>
      <c r="I296" s="549"/>
      <c r="J296" s="533"/>
      <c r="K296" s="533"/>
      <c r="L296" s="568"/>
      <c r="M296" s="533"/>
      <c r="N296" s="533"/>
    </row>
    <row r="297" spans="1:14" s="530" customFormat="1">
      <c r="A297" s="549"/>
      <c r="B297" s="549"/>
      <c r="C297" s="549"/>
      <c r="D297" s="549"/>
      <c r="E297" s="549"/>
      <c r="F297" s="549"/>
      <c r="G297" s="549"/>
      <c r="H297" s="549"/>
      <c r="I297" s="549"/>
      <c r="J297" s="533"/>
      <c r="K297" s="533"/>
      <c r="L297" s="568"/>
      <c r="M297" s="533"/>
      <c r="N297" s="533"/>
    </row>
    <row r="298" spans="1:14" s="530" customFormat="1">
      <c r="A298" s="549"/>
      <c r="B298" s="549"/>
      <c r="C298" s="549"/>
      <c r="D298" s="549"/>
      <c r="E298" s="549"/>
      <c r="F298" s="549"/>
      <c r="G298" s="549"/>
      <c r="H298" s="549"/>
      <c r="I298" s="549"/>
      <c r="J298" s="533"/>
      <c r="K298" s="533"/>
      <c r="L298" s="568"/>
      <c r="M298" s="533"/>
      <c r="N298" s="533"/>
    </row>
    <row r="299" spans="1:14" s="530" customFormat="1">
      <c r="A299" s="549"/>
      <c r="B299" s="549"/>
      <c r="C299" s="549"/>
      <c r="D299" s="549"/>
      <c r="E299" s="549"/>
      <c r="F299" s="549"/>
      <c r="G299" s="549"/>
      <c r="H299" s="549"/>
      <c r="I299" s="549"/>
      <c r="J299" s="533"/>
      <c r="K299" s="533"/>
      <c r="L299" s="568"/>
      <c r="M299" s="533"/>
      <c r="N299" s="533"/>
    </row>
    <row r="300" spans="1:14">
      <c r="A300" s="569"/>
      <c r="B300" s="569"/>
      <c r="C300" s="569"/>
      <c r="D300" s="569"/>
      <c r="E300" s="569"/>
      <c r="F300" s="569"/>
      <c r="G300" s="569"/>
      <c r="H300" s="569"/>
      <c r="I300" s="569"/>
      <c r="J300" s="570"/>
      <c r="K300" s="570"/>
      <c r="L300" s="571"/>
      <c r="M300" s="570"/>
      <c r="N300" s="570"/>
    </row>
    <row r="301" spans="1:14">
      <c r="A301" s="569"/>
      <c r="B301" s="569"/>
      <c r="C301" s="569"/>
      <c r="D301" s="569"/>
      <c r="E301" s="569"/>
      <c r="F301" s="569"/>
      <c r="G301" s="569"/>
      <c r="H301" s="569"/>
      <c r="I301" s="569"/>
      <c r="J301" s="570"/>
      <c r="K301" s="570"/>
      <c r="L301" s="571"/>
      <c r="M301" s="570"/>
      <c r="N301" s="570"/>
    </row>
    <row r="302" spans="1:14">
      <c r="A302" s="569"/>
      <c r="B302" s="569"/>
      <c r="C302" s="569"/>
      <c r="D302" s="569"/>
      <c r="E302" s="569"/>
      <c r="F302" s="569"/>
      <c r="G302" s="569"/>
      <c r="H302" s="569"/>
      <c r="I302" s="569"/>
      <c r="J302" s="570"/>
      <c r="K302" s="570"/>
      <c r="L302" s="571"/>
      <c r="M302" s="570"/>
      <c r="N302" s="570"/>
    </row>
    <row r="303" spans="1:14">
      <c r="A303" s="569"/>
      <c r="B303" s="569"/>
      <c r="C303" s="569"/>
      <c r="D303" s="569"/>
      <c r="E303" s="569"/>
      <c r="F303" s="569"/>
      <c r="G303" s="569"/>
      <c r="H303" s="569"/>
      <c r="I303" s="569"/>
      <c r="J303" s="570"/>
      <c r="K303" s="570"/>
      <c r="L303" s="571"/>
      <c r="M303" s="570"/>
      <c r="N303" s="570"/>
    </row>
    <row r="304" spans="1:14">
      <c r="A304" s="569"/>
      <c r="B304" s="569"/>
      <c r="C304" s="569"/>
      <c r="D304" s="569"/>
      <c r="E304" s="569"/>
      <c r="F304" s="569"/>
      <c r="G304" s="569"/>
      <c r="H304" s="569"/>
      <c r="I304" s="569"/>
      <c r="J304" s="570"/>
      <c r="K304" s="570"/>
      <c r="L304" s="570"/>
      <c r="M304" s="570"/>
      <c r="N304" s="570"/>
    </row>
    <row r="305" spans="1:9">
      <c r="A305" s="569"/>
      <c r="B305" s="569"/>
      <c r="C305" s="569"/>
      <c r="D305" s="569"/>
      <c r="E305" s="569"/>
      <c r="F305" s="569"/>
      <c r="G305" s="569"/>
      <c r="H305" s="569"/>
      <c r="I305" s="569"/>
    </row>
    <row r="306" spans="1:9">
      <c r="A306" s="569"/>
      <c r="B306" s="569"/>
      <c r="C306" s="569"/>
      <c r="D306" s="569"/>
      <c r="E306" s="569"/>
      <c r="F306" s="569"/>
      <c r="G306" s="569"/>
      <c r="H306" s="569"/>
      <c r="I306" s="569"/>
    </row>
    <row r="307" spans="1:9">
      <c r="A307" s="569"/>
      <c r="B307" s="569"/>
      <c r="C307" s="569"/>
      <c r="D307" s="569"/>
      <c r="E307" s="569"/>
      <c r="F307" s="569"/>
      <c r="G307" s="569"/>
      <c r="H307" s="569"/>
      <c r="I307" s="569"/>
    </row>
    <row r="308" spans="1:9">
      <c r="A308" s="569"/>
      <c r="B308" s="569"/>
      <c r="C308" s="569"/>
      <c r="D308" s="569"/>
      <c r="E308" s="569"/>
      <c r="F308" s="569"/>
      <c r="G308" s="569"/>
      <c r="H308" s="569"/>
      <c r="I308" s="569"/>
    </row>
    <row r="309" spans="1:9">
      <c r="A309" s="569"/>
      <c r="B309" s="569"/>
      <c r="C309" s="569"/>
      <c r="D309" s="569"/>
      <c r="E309" s="569"/>
      <c r="F309" s="569"/>
      <c r="G309" s="569"/>
      <c r="H309" s="569"/>
      <c r="I309" s="569"/>
    </row>
    <row r="310" spans="1:9">
      <c r="A310" s="569"/>
      <c r="B310" s="569"/>
      <c r="C310" s="569"/>
      <c r="D310" s="569"/>
      <c r="E310" s="569"/>
      <c r="F310" s="569"/>
      <c r="G310" s="569"/>
      <c r="H310" s="569"/>
      <c r="I310" s="569"/>
    </row>
    <row r="311" spans="1:9">
      <c r="A311" s="569"/>
      <c r="B311" s="569"/>
      <c r="C311" s="569"/>
      <c r="D311" s="569"/>
      <c r="E311" s="569"/>
      <c r="F311" s="569"/>
      <c r="G311" s="569"/>
      <c r="H311" s="569"/>
      <c r="I311" s="569"/>
    </row>
    <row r="312" spans="1:9">
      <c r="A312" s="569"/>
      <c r="B312" s="569"/>
      <c r="C312" s="569"/>
      <c r="D312" s="569"/>
      <c r="E312" s="569"/>
      <c r="F312" s="569"/>
      <c r="G312" s="569"/>
      <c r="H312" s="569"/>
      <c r="I312" s="569"/>
    </row>
    <row r="313" spans="1:9">
      <c r="A313" s="569"/>
      <c r="B313" s="569"/>
      <c r="C313" s="569"/>
      <c r="D313" s="569"/>
      <c r="E313" s="569"/>
      <c r="F313" s="569"/>
      <c r="G313" s="569"/>
      <c r="H313" s="569"/>
      <c r="I313" s="569"/>
    </row>
    <row r="314" spans="1:9">
      <c r="A314" s="569"/>
      <c r="B314" s="569"/>
      <c r="C314" s="569"/>
      <c r="D314" s="569"/>
      <c r="E314" s="569"/>
      <c r="F314" s="569"/>
      <c r="G314" s="569"/>
      <c r="H314" s="569"/>
      <c r="I314" s="569"/>
    </row>
    <row r="315" spans="1:9">
      <c r="A315" s="569"/>
      <c r="B315" s="569"/>
      <c r="C315" s="569"/>
      <c r="D315" s="569"/>
      <c r="E315" s="569"/>
      <c r="F315" s="569"/>
      <c r="G315" s="569"/>
      <c r="H315" s="569"/>
      <c r="I315" s="569"/>
    </row>
    <row r="316" spans="1:9">
      <c r="A316" s="569"/>
      <c r="B316" s="569"/>
      <c r="C316" s="569"/>
      <c r="D316" s="569"/>
      <c r="E316" s="569"/>
      <c r="F316" s="569"/>
      <c r="G316" s="569"/>
      <c r="H316" s="569"/>
      <c r="I316" s="569"/>
    </row>
    <row r="317" spans="1:9">
      <c r="A317" s="569"/>
      <c r="B317" s="569"/>
      <c r="C317" s="569"/>
      <c r="D317" s="569"/>
      <c r="E317" s="569"/>
      <c r="F317" s="569"/>
      <c r="G317" s="569"/>
      <c r="H317" s="569"/>
      <c r="I317" s="569"/>
    </row>
    <row r="318" spans="1:9">
      <c r="A318" s="569"/>
      <c r="B318" s="569"/>
      <c r="C318" s="569"/>
      <c r="D318" s="569"/>
      <c r="E318" s="569"/>
      <c r="F318" s="569"/>
      <c r="G318" s="569"/>
      <c r="H318" s="569"/>
      <c r="I318" s="569"/>
    </row>
    <row r="319" spans="1:9">
      <c r="A319" s="569"/>
      <c r="B319" s="569"/>
      <c r="C319" s="569"/>
      <c r="D319" s="569"/>
      <c r="E319" s="569"/>
      <c r="F319" s="569"/>
      <c r="G319" s="569"/>
      <c r="H319" s="569"/>
      <c r="I319" s="569"/>
    </row>
    <row r="320" spans="1:9">
      <c r="A320" s="569"/>
      <c r="B320" s="569"/>
      <c r="C320" s="569"/>
      <c r="D320" s="569"/>
      <c r="E320" s="569"/>
      <c r="F320" s="569"/>
      <c r="G320" s="569"/>
      <c r="H320" s="569"/>
      <c r="I320" s="569"/>
    </row>
    <row r="321" spans="1:9">
      <c r="A321" s="569"/>
      <c r="B321" s="569"/>
      <c r="C321" s="569"/>
      <c r="D321" s="569"/>
      <c r="E321" s="569"/>
      <c r="F321" s="569"/>
      <c r="G321" s="569"/>
      <c r="H321" s="569"/>
      <c r="I321" s="569"/>
    </row>
    <row r="322" spans="1:9">
      <c r="A322" s="569"/>
      <c r="B322" s="569"/>
      <c r="C322" s="569"/>
      <c r="D322" s="569"/>
      <c r="E322" s="569"/>
      <c r="F322" s="569"/>
      <c r="G322" s="569"/>
      <c r="H322" s="569"/>
      <c r="I322" s="569"/>
    </row>
    <row r="323" spans="1:9">
      <c r="A323" s="569"/>
      <c r="B323" s="569"/>
      <c r="C323" s="569"/>
      <c r="D323" s="569"/>
      <c r="E323" s="569"/>
      <c r="F323" s="569"/>
      <c r="G323" s="569"/>
      <c r="H323" s="569"/>
      <c r="I323" s="569"/>
    </row>
    <row r="324" spans="1:9">
      <c r="A324" s="569"/>
      <c r="B324" s="569"/>
      <c r="C324" s="569"/>
      <c r="D324" s="569"/>
      <c r="E324" s="569"/>
      <c r="F324" s="569"/>
      <c r="G324" s="569"/>
      <c r="H324" s="569"/>
      <c r="I324" s="569"/>
    </row>
    <row r="325" spans="1:9">
      <c r="A325" s="569"/>
      <c r="B325" s="569"/>
      <c r="C325" s="569"/>
      <c r="D325" s="569"/>
      <c r="E325" s="569"/>
      <c r="F325" s="569"/>
      <c r="G325" s="569"/>
      <c r="H325" s="569"/>
      <c r="I325" s="569"/>
    </row>
    <row r="326" spans="1:9">
      <c r="A326" s="569"/>
      <c r="B326" s="569"/>
      <c r="C326" s="569"/>
      <c r="D326" s="569"/>
      <c r="E326" s="569"/>
      <c r="F326" s="569"/>
      <c r="G326" s="569"/>
      <c r="H326" s="569"/>
      <c r="I326" s="569"/>
    </row>
    <row r="327" spans="1:9">
      <c r="A327" s="569"/>
      <c r="B327" s="569"/>
      <c r="C327" s="569"/>
      <c r="D327" s="569"/>
      <c r="E327" s="569"/>
      <c r="F327" s="569"/>
      <c r="G327" s="569"/>
      <c r="H327" s="569"/>
      <c r="I327" s="569"/>
    </row>
    <row r="328" spans="1:9">
      <c r="A328" s="569"/>
      <c r="B328" s="569"/>
      <c r="C328" s="569"/>
      <c r="D328" s="569"/>
      <c r="E328" s="569"/>
      <c r="F328" s="569"/>
      <c r="G328" s="569"/>
      <c r="H328" s="569"/>
      <c r="I328" s="569"/>
    </row>
    <row r="329" spans="1:9">
      <c r="A329" s="569"/>
      <c r="B329" s="569"/>
      <c r="C329" s="569"/>
      <c r="D329" s="569"/>
      <c r="E329" s="569"/>
      <c r="F329" s="569"/>
      <c r="G329" s="569"/>
      <c r="H329" s="569"/>
      <c r="I329" s="569"/>
    </row>
    <row r="330" spans="1:9">
      <c r="A330" s="569"/>
      <c r="B330" s="569"/>
      <c r="C330" s="569"/>
      <c r="D330" s="569"/>
      <c r="E330" s="569"/>
      <c r="F330" s="569"/>
      <c r="G330" s="569"/>
      <c r="H330" s="569"/>
      <c r="I330" s="569"/>
    </row>
    <row r="331" spans="1:9">
      <c r="A331" s="569"/>
      <c r="B331" s="569"/>
      <c r="C331" s="569"/>
      <c r="D331" s="569"/>
      <c r="E331" s="569"/>
      <c r="F331" s="569"/>
      <c r="G331" s="569"/>
      <c r="H331" s="569"/>
      <c r="I331" s="569"/>
    </row>
    <row r="332" spans="1:9">
      <c r="A332" s="569"/>
      <c r="B332" s="569"/>
      <c r="C332" s="569"/>
      <c r="D332" s="569"/>
      <c r="E332" s="569"/>
      <c r="F332" s="569"/>
      <c r="G332" s="569"/>
      <c r="H332" s="569"/>
      <c r="I332" s="569"/>
    </row>
    <row r="333" spans="1:9">
      <c r="A333" s="569"/>
      <c r="B333" s="569"/>
      <c r="C333" s="569"/>
      <c r="D333" s="569"/>
      <c r="E333" s="569"/>
      <c r="F333" s="569"/>
      <c r="G333" s="569"/>
      <c r="H333" s="569"/>
      <c r="I333" s="569"/>
    </row>
    <row r="334" spans="1:9">
      <c r="A334" s="569"/>
      <c r="B334" s="569"/>
      <c r="C334" s="569"/>
      <c r="D334" s="569"/>
      <c r="E334" s="569"/>
      <c r="F334" s="569"/>
      <c r="G334" s="569"/>
      <c r="H334" s="569"/>
      <c r="I334" s="569"/>
    </row>
    <row r="335" spans="1:9">
      <c r="A335" s="569"/>
      <c r="B335" s="569"/>
      <c r="C335" s="569"/>
      <c r="D335" s="569"/>
      <c r="E335" s="569"/>
      <c r="F335" s="569"/>
      <c r="G335" s="569"/>
      <c r="H335" s="569"/>
      <c r="I335" s="569"/>
    </row>
    <row r="336" spans="1:9">
      <c r="A336" s="569"/>
      <c r="B336" s="569"/>
      <c r="C336" s="569"/>
      <c r="D336" s="569"/>
      <c r="E336" s="569"/>
      <c r="F336" s="569"/>
      <c r="G336" s="569"/>
      <c r="H336" s="569"/>
      <c r="I336" s="569"/>
    </row>
    <row r="337" spans="1:9">
      <c r="A337" s="569"/>
      <c r="B337" s="569"/>
      <c r="C337" s="569"/>
      <c r="D337" s="569"/>
      <c r="E337" s="569"/>
      <c r="F337" s="569"/>
      <c r="G337" s="569"/>
      <c r="H337" s="569"/>
      <c r="I337" s="569"/>
    </row>
    <row r="338" spans="1:9">
      <c r="A338" s="569"/>
      <c r="B338" s="569"/>
      <c r="C338" s="569"/>
      <c r="D338" s="569"/>
      <c r="E338" s="569"/>
      <c r="F338" s="569"/>
      <c r="G338" s="569"/>
      <c r="H338" s="569"/>
      <c r="I338" s="569"/>
    </row>
    <row r="339" spans="1:9">
      <c r="A339" s="569"/>
      <c r="B339" s="569"/>
      <c r="C339" s="569"/>
      <c r="D339" s="569"/>
      <c r="E339" s="569"/>
      <c r="F339" s="569"/>
      <c r="G339" s="569"/>
      <c r="H339" s="569"/>
      <c r="I339" s="569"/>
    </row>
    <row r="340" spans="1:9">
      <c r="A340" s="569"/>
      <c r="B340" s="569"/>
      <c r="C340" s="569"/>
      <c r="D340" s="569"/>
      <c r="E340" s="569"/>
      <c r="F340" s="569"/>
      <c r="G340" s="569"/>
      <c r="H340" s="569"/>
      <c r="I340" s="569"/>
    </row>
    <row r="341" spans="1:9">
      <c r="A341" s="569"/>
      <c r="B341" s="569"/>
      <c r="C341" s="569"/>
      <c r="D341" s="569"/>
      <c r="E341" s="569"/>
      <c r="F341" s="569"/>
      <c r="G341" s="569"/>
      <c r="H341" s="569"/>
      <c r="I341" s="569"/>
    </row>
    <row r="342" spans="1:9">
      <c r="A342" s="569"/>
      <c r="B342" s="569"/>
      <c r="C342" s="569"/>
      <c r="D342" s="569"/>
      <c r="E342" s="569"/>
      <c r="F342" s="569"/>
      <c r="G342" s="569"/>
      <c r="H342" s="569"/>
      <c r="I342" s="569"/>
    </row>
    <row r="343" spans="1:9">
      <c r="A343" s="569"/>
      <c r="B343" s="569"/>
      <c r="C343" s="569"/>
      <c r="D343" s="569"/>
      <c r="E343" s="569"/>
      <c r="F343" s="569"/>
      <c r="G343" s="569"/>
      <c r="H343" s="569"/>
      <c r="I343" s="569"/>
    </row>
    <row r="344" spans="1:9">
      <c r="A344" s="569"/>
      <c r="B344" s="569"/>
      <c r="C344" s="569"/>
      <c r="D344" s="569"/>
      <c r="E344" s="569"/>
      <c r="F344" s="569"/>
      <c r="G344" s="569"/>
      <c r="H344" s="569"/>
      <c r="I344" s="569"/>
    </row>
    <row r="345" spans="1:9">
      <c r="A345" s="569"/>
      <c r="B345" s="569"/>
      <c r="C345" s="569"/>
      <c r="D345" s="569"/>
      <c r="E345" s="569"/>
      <c r="F345" s="569"/>
      <c r="G345" s="569"/>
      <c r="H345" s="569"/>
      <c r="I345" s="569"/>
    </row>
    <row r="346" spans="1:9">
      <c r="A346" s="569"/>
      <c r="B346" s="569"/>
      <c r="C346" s="569"/>
      <c r="D346" s="569"/>
      <c r="E346" s="569"/>
      <c r="F346" s="569"/>
      <c r="G346" s="569"/>
      <c r="H346" s="569"/>
      <c r="I346" s="569"/>
    </row>
    <row r="347" spans="1:9">
      <c r="A347" s="569"/>
      <c r="B347" s="569"/>
      <c r="C347" s="569"/>
      <c r="D347" s="569"/>
      <c r="E347" s="569"/>
      <c r="F347" s="569"/>
      <c r="G347" s="569"/>
      <c r="H347" s="569"/>
      <c r="I347" s="569"/>
    </row>
    <row r="348" spans="1:9">
      <c r="A348" s="569"/>
      <c r="B348" s="569"/>
      <c r="C348" s="569"/>
      <c r="D348" s="569"/>
      <c r="E348" s="569"/>
      <c r="F348" s="569"/>
      <c r="G348" s="569"/>
      <c r="H348" s="569"/>
      <c r="I348" s="569"/>
    </row>
    <row r="349" spans="1:9">
      <c r="A349" s="569"/>
      <c r="B349" s="569"/>
      <c r="C349" s="569"/>
      <c r="D349" s="569"/>
      <c r="E349" s="569"/>
      <c r="F349" s="569"/>
      <c r="G349" s="569"/>
      <c r="H349" s="569"/>
      <c r="I349" s="569"/>
    </row>
    <row r="350" spans="1:9">
      <c r="A350" s="569"/>
      <c r="B350" s="569"/>
      <c r="C350" s="569"/>
      <c r="D350" s="569"/>
      <c r="E350" s="569"/>
      <c r="F350" s="569"/>
      <c r="G350" s="569"/>
      <c r="H350" s="569"/>
      <c r="I350" s="569"/>
    </row>
    <row r="351" spans="1:9">
      <c r="A351" s="569"/>
      <c r="B351" s="569"/>
      <c r="C351" s="569"/>
      <c r="D351" s="569"/>
      <c r="E351" s="569"/>
      <c r="F351" s="569"/>
      <c r="G351" s="569"/>
      <c r="H351" s="569"/>
      <c r="I351" s="569"/>
    </row>
    <row r="352" spans="1:9">
      <c r="A352" s="569"/>
      <c r="B352" s="569"/>
      <c r="C352" s="569"/>
      <c r="D352" s="569"/>
      <c r="E352" s="569"/>
      <c r="F352" s="569"/>
      <c r="G352" s="569"/>
      <c r="H352" s="569"/>
      <c r="I352" s="569"/>
    </row>
    <row r="353" spans="1:9">
      <c r="A353" s="569"/>
      <c r="B353" s="569"/>
      <c r="C353" s="569"/>
      <c r="D353" s="569"/>
      <c r="E353" s="569"/>
      <c r="F353" s="569"/>
      <c r="G353" s="569"/>
      <c r="H353" s="569"/>
      <c r="I353" s="569"/>
    </row>
    <row r="354" spans="1:9">
      <c r="A354" s="569"/>
      <c r="B354" s="569"/>
      <c r="C354" s="569"/>
      <c r="D354" s="569"/>
      <c r="E354" s="569"/>
      <c r="F354" s="569"/>
      <c r="G354" s="569"/>
      <c r="H354" s="569"/>
      <c r="I354" s="569"/>
    </row>
    <row r="355" spans="1:9">
      <c r="A355" s="569"/>
      <c r="B355" s="569"/>
      <c r="C355" s="569"/>
      <c r="D355" s="569"/>
      <c r="E355" s="569"/>
      <c r="F355" s="569"/>
      <c r="G355" s="569"/>
      <c r="H355" s="569"/>
      <c r="I355" s="569"/>
    </row>
    <row r="356" spans="1:9">
      <c r="A356" s="569"/>
      <c r="B356" s="569"/>
      <c r="C356" s="569"/>
      <c r="D356" s="569"/>
      <c r="E356" s="569"/>
      <c r="F356" s="569"/>
      <c r="G356" s="569"/>
      <c r="H356" s="569"/>
      <c r="I356" s="569"/>
    </row>
    <row r="357" spans="1:9">
      <c r="A357" s="569"/>
      <c r="B357" s="569"/>
      <c r="C357" s="569"/>
      <c r="D357" s="569"/>
      <c r="E357" s="569"/>
      <c r="F357" s="569"/>
      <c r="G357" s="569"/>
      <c r="H357" s="569"/>
      <c r="I357" s="569"/>
    </row>
    <row r="358" spans="1:9">
      <c r="A358" s="569"/>
      <c r="B358" s="569"/>
      <c r="C358" s="569"/>
      <c r="D358" s="569"/>
      <c r="E358" s="569"/>
      <c r="F358" s="569"/>
      <c r="G358" s="569"/>
      <c r="H358" s="569"/>
      <c r="I358" s="569"/>
    </row>
    <row r="359" spans="1:9">
      <c r="A359" s="569"/>
      <c r="B359" s="569"/>
      <c r="C359" s="569"/>
      <c r="D359" s="569"/>
      <c r="E359" s="569"/>
      <c r="F359" s="569"/>
      <c r="G359" s="569"/>
      <c r="H359" s="569"/>
      <c r="I359" s="569"/>
    </row>
    <row r="360" spans="1:9">
      <c r="A360" s="569"/>
      <c r="B360" s="569"/>
      <c r="C360" s="569"/>
      <c r="D360" s="569"/>
      <c r="E360" s="569"/>
      <c r="F360" s="569"/>
      <c r="G360" s="569"/>
      <c r="H360" s="569"/>
      <c r="I360" s="569"/>
    </row>
    <row r="361" spans="1:9">
      <c r="A361" s="569"/>
      <c r="B361" s="569"/>
      <c r="C361" s="569"/>
      <c r="D361" s="569"/>
      <c r="E361" s="569"/>
      <c r="F361" s="569"/>
      <c r="G361" s="569"/>
      <c r="H361" s="569"/>
      <c r="I361" s="569"/>
    </row>
    <row r="362" spans="1:9">
      <c r="A362" s="569"/>
      <c r="B362" s="569"/>
      <c r="C362" s="569"/>
      <c r="D362" s="569"/>
      <c r="E362" s="569"/>
      <c r="F362" s="569"/>
      <c r="G362" s="569"/>
      <c r="H362" s="569"/>
      <c r="I362" s="569"/>
    </row>
    <row r="363" spans="1:9">
      <c r="A363" s="569"/>
      <c r="B363" s="569"/>
      <c r="C363" s="569"/>
      <c r="D363" s="569"/>
      <c r="E363" s="569"/>
      <c r="F363" s="569"/>
      <c r="G363" s="569"/>
      <c r="H363" s="569"/>
      <c r="I363" s="569"/>
    </row>
    <row r="364" spans="1:9">
      <c r="A364" s="569"/>
      <c r="B364" s="569"/>
      <c r="C364" s="569"/>
      <c r="D364" s="569"/>
      <c r="E364" s="569"/>
      <c r="F364" s="569"/>
      <c r="G364" s="569"/>
      <c r="H364" s="569"/>
      <c r="I364" s="569"/>
    </row>
    <row r="365" spans="1:9">
      <c r="A365" s="569"/>
      <c r="B365" s="569"/>
      <c r="C365" s="569"/>
      <c r="D365" s="569"/>
      <c r="E365" s="569"/>
      <c r="F365" s="569"/>
      <c r="G365" s="569"/>
      <c r="H365" s="569"/>
      <c r="I365" s="569"/>
    </row>
    <row r="366" spans="1:9">
      <c r="A366" s="569"/>
      <c r="B366" s="569"/>
      <c r="C366" s="569"/>
      <c r="D366" s="569"/>
      <c r="E366" s="569"/>
      <c r="F366" s="569"/>
      <c r="G366" s="569"/>
      <c r="H366" s="569"/>
      <c r="I366" s="569"/>
    </row>
    <row r="367" spans="1:9">
      <c r="A367" s="569"/>
      <c r="B367" s="569"/>
      <c r="C367" s="569"/>
      <c r="D367" s="569"/>
      <c r="E367" s="569"/>
      <c r="F367" s="569"/>
      <c r="G367" s="569"/>
      <c r="H367" s="569"/>
      <c r="I367" s="569"/>
    </row>
    <row r="368" spans="1:9">
      <c r="A368" s="569"/>
      <c r="B368" s="569"/>
      <c r="C368" s="569"/>
      <c r="D368" s="569"/>
      <c r="E368" s="569"/>
      <c r="F368" s="569"/>
      <c r="G368" s="569"/>
      <c r="H368" s="569"/>
      <c r="I368" s="569"/>
    </row>
    <row r="369" spans="1:9">
      <c r="A369" s="569"/>
      <c r="B369" s="569"/>
      <c r="C369" s="569"/>
      <c r="D369" s="569"/>
      <c r="E369" s="569"/>
      <c r="F369" s="569"/>
      <c r="G369" s="569"/>
      <c r="H369" s="569"/>
      <c r="I369" s="569"/>
    </row>
    <row r="370" spans="1:9">
      <c r="A370" s="569"/>
      <c r="B370" s="569"/>
      <c r="C370" s="569"/>
      <c r="D370" s="569"/>
      <c r="E370" s="569"/>
      <c r="F370" s="569"/>
      <c r="G370" s="569"/>
      <c r="H370" s="569"/>
      <c r="I370" s="569"/>
    </row>
    <row r="371" spans="1:9">
      <c r="A371" s="569"/>
      <c r="B371" s="569"/>
      <c r="C371" s="569"/>
      <c r="D371" s="569"/>
      <c r="E371" s="569"/>
      <c r="F371" s="569"/>
      <c r="G371" s="569"/>
      <c r="H371" s="569"/>
      <c r="I371" s="569"/>
    </row>
    <row r="372" spans="1:9">
      <c r="A372" s="569"/>
      <c r="B372" s="569"/>
      <c r="C372" s="569"/>
      <c r="D372" s="569"/>
      <c r="E372" s="569"/>
      <c r="F372" s="569"/>
      <c r="G372" s="569"/>
      <c r="H372" s="569"/>
      <c r="I372" s="569"/>
    </row>
    <row r="373" spans="1:9">
      <c r="A373" s="569"/>
      <c r="B373" s="569"/>
      <c r="C373" s="569"/>
      <c r="D373" s="569"/>
      <c r="E373" s="569"/>
      <c r="F373" s="569"/>
      <c r="G373" s="569"/>
      <c r="H373" s="569"/>
      <c r="I373" s="569"/>
    </row>
    <row r="374" spans="1:9">
      <c r="A374" s="569"/>
      <c r="B374" s="569"/>
      <c r="C374" s="569"/>
      <c r="D374" s="569"/>
      <c r="E374" s="569"/>
      <c r="F374" s="569"/>
      <c r="G374" s="569"/>
      <c r="H374" s="569"/>
      <c r="I374" s="569"/>
    </row>
    <row r="375" spans="1:9">
      <c r="A375" s="569"/>
      <c r="B375" s="569"/>
      <c r="C375" s="569"/>
      <c r="D375" s="569"/>
      <c r="E375" s="569"/>
      <c r="F375" s="569"/>
      <c r="G375" s="569"/>
      <c r="H375" s="569"/>
      <c r="I375" s="569"/>
    </row>
    <row r="376" spans="1:9">
      <c r="A376" s="569"/>
      <c r="B376" s="569"/>
      <c r="C376" s="569"/>
      <c r="D376" s="569"/>
      <c r="E376" s="569"/>
      <c r="F376" s="569"/>
      <c r="G376" s="569"/>
      <c r="H376" s="569"/>
      <c r="I376" s="569"/>
    </row>
    <row r="377" spans="1:9">
      <c r="A377" s="569"/>
      <c r="B377" s="569"/>
      <c r="C377" s="569"/>
      <c r="D377" s="569"/>
      <c r="E377" s="569"/>
      <c r="F377" s="569"/>
      <c r="G377" s="569"/>
      <c r="H377" s="569"/>
      <c r="I377" s="569"/>
    </row>
    <row r="378" spans="1:9">
      <c r="A378" s="569"/>
      <c r="B378" s="569"/>
      <c r="C378" s="569"/>
      <c r="D378" s="569"/>
      <c r="E378" s="569"/>
      <c r="F378" s="569"/>
      <c r="G378" s="569"/>
      <c r="H378" s="569"/>
      <c r="I378" s="569"/>
    </row>
    <row r="379" spans="1:9">
      <c r="A379" s="569"/>
      <c r="B379" s="569"/>
      <c r="C379" s="569"/>
      <c r="D379" s="569"/>
      <c r="E379" s="569"/>
      <c r="F379" s="569"/>
      <c r="G379" s="569"/>
      <c r="H379" s="569"/>
      <c r="I379" s="569"/>
    </row>
    <row r="380" spans="1:9">
      <c r="A380" s="569"/>
      <c r="B380" s="569"/>
      <c r="C380" s="569"/>
      <c r="D380" s="569"/>
      <c r="E380" s="569"/>
      <c r="F380" s="569"/>
      <c r="G380" s="569"/>
      <c r="H380" s="569"/>
      <c r="I380" s="569"/>
    </row>
    <row r="381" spans="1:9">
      <c r="A381" s="569"/>
      <c r="B381" s="569"/>
      <c r="C381" s="569"/>
      <c r="D381" s="569"/>
      <c r="E381" s="569"/>
      <c r="F381" s="569"/>
      <c r="G381" s="569"/>
      <c r="H381" s="569"/>
      <c r="I381" s="569"/>
    </row>
    <row r="382" spans="1:9">
      <c r="A382" s="569"/>
      <c r="B382" s="569"/>
      <c r="C382" s="569"/>
      <c r="D382" s="569"/>
      <c r="E382" s="569"/>
      <c r="F382" s="569"/>
      <c r="G382" s="569"/>
      <c r="H382" s="569"/>
      <c r="I382" s="569"/>
    </row>
    <row r="383" spans="1:9">
      <c r="A383" s="569"/>
      <c r="B383" s="569"/>
      <c r="C383" s="569"/>
      <c r="D383" s="569"/>
      <c r="E383" s="569"/>
      <c r="F383" s="569"/>
      <c r="G383" s="569"/>
      <c r="H383" s="569"/>
      <c r="I383" s="569"/>
    </row>
    <row r="384" spans="1:9">
      <c r="A384" s="569"/>
      <c r="B384" s="569"/>
      <c r="C384" s="569"/>
      <c r="D384" s="569"/>
      <c r="E384" s="569"/>
      <c r="F384" s="569"/>
      <c r="G384" s="569"/>
      <c r="H384" s="569"/>
      <c r="I384" s="569"/>
    </row>
    <row r="385" spans="1:9">
      <c r="A385" s="569"/>
      <c r="B385" s="569"/>
      <c r="C385" s="569"/>
      <c r="D385" s="569"/>
      <c r="E385" s="569"/>
      <c r="F385" s="569"/>
      <c r="G385" s="569"/>
      <c r="H385" s="569"/>
      <c r="I385" s="569"/>
    </row>
    <row r="386" spans="1:9">
      <c r="A386" s="569"/>
      <c r="B386" s="569"/>
      <c r="C386" s="569"/>
      <c r="D386" s="569"/>
      <c r="E386" s="569"/>
      <c r="F386" s="569"/>
      <c r="G386" s="569"/>
      <c r="H386" s="569"/>
      <c r="I386" s="569"/>
    </row>
    <row r="387" spans="1:9">
      <c r="A387" s="569"/>
      <c r="B387" s="569"/>
      <c r="C387" s="569"/>
      <c r="D387" s="569"/>
      <c r="E387" s="569"/>
      <c r="F387" s="569"/>
      <c r="G387" s="569"/>
      <c r="H387" s="569"/>
      <c r="I387" s="569"/>
    </row>
    <row r="388" spans="1:9">
      <c r="A388" s="569"/>
      <c r="B388" s="569"/>
      <c r="C388" s="569"/>
      <c r="D388" s="569"/>
      <c r="E388" s="569"/>
      <c r="F388" s="569"/>
      <c r="G388" s="569"/>
      <c r="H388" s="569"/>
      <c r="I388" s="569"/>
    </row>
    <row r="389" spans="1:9">
      <c r="A389" s="569"/>
      <c r="B389" s="569"/>
      <c r="C389" s="569"/>
      <c r="D389" s="569"/>
      <c r="E389" s="569"/>
      <c r="F389" s="569"/>
      <c r="G389" s="569"/>
      <c r="H389" s="569"/>
      <c r="I389" s="569"/>
    </row>
    <row r="390" spans="1:9">
      <c r="A390" s="569"/>
      <c r="B390" s="569"/>
      <c r="C390" s="569"/>
      <c r="D390" s="569"/>
      <c r="E390" s="569"/>
      <c r="F390" s="569"/>
      <c r="G390" s="569"/>
      <c r="H390" s="569"/>
      <c r="I390" s="569"/>
    </row>
    <row r="391" spans="1:9">
      <c r="A391" s="569"/>
      <c r="B391" s="569"/>
      <c r="C391" s="569"/>
      <c r="D391" s="569"/>
      <c r="E391" s="569"/>
      <c r="F391" s="569"/>
      <c r="G391" s="569"/>
      <c r="H391" s="569"/>
      <c r="I391" s="569"/>
    </row>
    <row r="392" spans="1:9">
      <c r="A392" s="569"/>
      <c r="B392" s="569"/>
      <c r="C392" s="569"/>
      <c r="D392" s="569"/>
      <c r="E392" s="569"/>
      <c r="F392" s="569"/>
      <c r="G392" s="569"/>
      <c r="H392" s="569"/>
      <c r="I392" s="569"/>
    </row>
    <row r="393" spans="1:9">
      <c r="A393" s="569"/>
      <c r="B393" s="569"/>
      <c r="C393" s="569"/>
      <c r="D393" s="569"/>
      <c r="E393" s="569"/>
      <c r="F393" s="569"/>
      <c r="G393" s="569"/>
      <c r="H393" s="569"/>
      <c r="I393" s="569"/>
    </row>
    <row r="394" spans="1:9">
      <c r="A394" s="569"/>
      <c r="B394" s="569"/>
      <c r="C394" s="569"/>
      <c r="D394" s="569"/>
      <c r="E394" s="569"/>
      <c r="F394" s="569"/>
      <c r="G394" s="569"/>
      <c r="H394" s="569"/>
      <c r="I394" s="569"/>
    </row>
    <row r="395" spans="1:9">
      <c r="A395" s="569"/>
      <c r="B395" s="569"/>
      <c r="C395" s="569"/>
      <c r="D395" s="569"/>
      <c r="E395" s="569"/>
      <c r="F395" s="569"/>
      <c r="G395" s="569"/>
      <c r="H395" s="569"/>
      <c r="I395" s="569"/>
    </row>
    <row r="396" spans="1:9">
      <c r="A396" s="569"/>
      <c r="B396" s="569"/>
      <c r="C396" s="569"/>
      <c r="D396" s="569"/>
      <c r="E396" s="569"/>
      <c r="F396" s="569"/>
      <c r="G396" s="569"/>
      <c r="H396" s="569"/>
      <c r="I396" s="569"/>
    </row>
    <row r="397" spans="1:9">
      <c r="A397" s="569"/>
      <c r="B397" s="569"/>
      <c r="C397" s="569"/>
      <c r="D397" s="569"/>
      <c r="E397" s="569"/>
      <c r="F397" s="569"/>
      <c r="G397" s="569"/>
      <c r="H397" s="569"/>
      <c r="I397" s="569"/>
    </row>
    <row r="398" spans="1:9">
      <c r="A398" s="569"/>
      <c r="B398" s="569"/>
      <c r="C398" s="569"/>
      <c r="D398" s="569"/>
      <c r="E398" s="569"/>
      <c r="F398" s="569"/>
      <c r="G398" s="569"/>
      <c r="H398" s="569"/>
      <c r="I398" s="569"/>
    </row>
    <row r="399" spans="1:9">
      <c r="A399" s="569"/>
      <c r="B399" s="569"/>
      <c r="C399" s="569"/>
      <c r="D399" s="569"/>
      <c r="E399" s="569"/>
      <c r="F399" s="569"/>
      <c r="G399" s="569"/>
      <c r="H399" s="569"/>
      <c r="I399" s="569"/>
    </row>
    <row r="400" spans="1:9">
      <c r="A400" s="569"/>
      <c r="B400" s="569"/>
      <c r="C400" s="569"/>
      <c r="D400" s="569"/>
      <c r="E400" s="569"/>
      <c r="F400" s="569"/>
      <c r="G400" s="569"/>
      <c r="H400" s="569"/>
      <c r="I400" s="569"/>
    </row>
    <row r="401" spans="1:9">
      <c r="A401" s="569"/>
      <c r="B401" s="569"/>
      <c r="C401" s="569"/>
      <c r="D401" s="569"/>
      <c r="E401" s="569"/>
      <c r="F401" s="569"/>
      <c r="G401" s="569"/>
      <c r="H401" s="569"/>
      <c r="I401" s="569"/>
    </row>
    <row r="402" spans="1:9">
      <c r="A402" s="569"/>
      <c r="B402" s="569"/>
      <c r="C402" s="569"/>
      <c r="D402" s="569"/>
      <c r="E402" s="569"/>
      <c r="F402" s="569"/>
      <c r="G402" s="569"/>
      <c r="H402" s="569"/>
      <c r="I402" s="569"/>
    </row>
    <row r="403" spans="1:9">
      <c r="A403" s="569"/>
      <c r="B403" s="569"/>
      <c r="C403" s="569"/>
      <c r="D403" s="569"/>
      <c r="E403" s="569"/>
      <c r="F403" s="569"/>
      <c r="G403" s="569"/>
      <c r="H403" s="569"/>
      <c r="I403" s="569"/>
    </row>
    <row r="404" spans="1:9">
      <c r="A404" s="569"/>
      <c r="B404" s="569"/>
      <c r="C404" s="569"/>
      <c r="D404" s="569"/>
      <c r="E404" s="569"/>
      <c r="F404" s="569"/>
      <c r="G404" s="569"/>
      <c r="H404" s="569"/>
      <c r="I404" s="569"/>
    </row>
    <row r="405" spans="1:9">
      <c r="A405" s="569"/>
      <c r="B405" s="569"/>
      <c r="C405" s="569"/>
      <c r="D405" s="569"/>
      <c r="E405" s="569"/>
      <c r="F405" s="569"/>
      <c r="G405" s="569"/>
      <c r="H405" s="569"/>
      <c r="I405" s="569"/>
    </row>
    <row r="406" spans="1:9">
      <c r="A406" s="569"/>
      <c r="B406" s="569"/>
      <c r="C406" s="569"/>
      <c r="D406" s="569"/>
      <c r="E406" s="569"/>
      <c r="F406" s="569"/>
      <c r="G406" s="569"/>
      <c r="H406" s="569"/>
      <c r="I406" s="569"/>
    </row>
    <row r="407" spans="1:9">
      <c r="A407" s="569"/>
      <c r="B407" s="569"/>
      <c r="C407" s="569"/>
      <c r="D407" s="569"/>
      <c r="E407" s="569"/>
      <c r="F407" s="569"/>
      <c r="G407" s="569"/>
      <c r="H407" s="569"/>
      <c r="I407" s="569"/>
    </row>
    <row r="408" spans="1:9">
      <c r="A408" s="569"/>
      <c r="B408" s="569"/>
      <c r="C408" s="569"/>
      <c r="D408" s="569"/>
      <c r="E408" s="569"/>
      <c r="F408" s="569"/>
      <c r="G408" s="569"/>
      <c r="H408" s="569"/>
      <c r="I408" s="569"/>
    </row>
    <row r="409" spans="1:9">
      <c r="A409" s="569"/>
      <c r="B409" s="569"/>
      <c r="C409" s="569"/>
      <c r="D409" s="569"/>
      <c r="E409" s="569"/>
      <c r="F409" s="569"/>
      <c r="G409" s="569"/>
      <c r="H409" s="569"/>
      <c r="I409" s="569"/>
    </row>
    <row r="410" spans="1:9">
      <c r="A410" s="569"/>
      <c r="B410" s="569"/>
      <c r="C410" s="569"/>
      <c r="D410" s="569"/>
      <c r="E410" s="569"/>
      <c r="F410" s="569"/>
      <c r="G410" s="569"/>
      <c r="H410" s="569"/>
      <c r="I410" s="569"/>
    </row>
    <row r="411" spans="1:9">
      <c r="A411" s="569"/>
      <c r="B411" s="569"/>
      <c r="C411" s="569"/>
      <c r="D411" s="569"/>
      <c r="E411" s="569"/>
      <c r="F411" s="569"/>
      <c r="G411" s="569"/>
      <c r="H411" s="569"/>
      <c r="I411" s="569"/>
    </row>
    <row r="412" spans="1:9">
      <c r="A412" s="569"/>
      <c r="B412" s="569"/>
      <c r="C412" s="569"/>
      <c r="D412" s="569"/>
      <c r="E412" s="569"/>
      <c r="F412" s="569"/>
      <c r="G412" s="569"/>
      <c r="H412" s="569"/>
      <c r="I412" s="569"/>
    </row>
    <row r="413" spans="1:9">
      <c r="A413" s="569"/>
      <c r="B413" s="569"/>
      <c r="C413" s="569"/>
      <c r="D413" s="569"/>
      <c r="E413" s="569"/>
      <c r="F413" s="569"/>
      <c r="G413" s="569"/>
      <c r="H413" s="569"/>
      <c r="I413" s="569"/>
    </row>
    <row r="414" spans="1:9">
      <c r="A414" s="569"/>
      <c r="B414" s="569"/>
      <c r="C414" s="569"/>
      <c r="D414" s="569"/>
      <c r="E414" s="569"/>
      <c r="F414" s="569"/>
      <c r="G414" s="569"/>
      <c r="H414" s="569"/>
      <c r="I414" s="569"/>
    </row>
    <row r="415" spans="1:9">
      <c r="A415" s="569"/>
      <c r="B415" s="569"/>
      <c r="C415" s="569"/>
      <c r="D415" s="569"/>
      <c r="E415" s="569"/>
      <c r="F415" s="569"/>
      <c r="G415" s="569"/>
      <c r="H415" s="569"/>
      <c r="I415" s="569"/>
    </row>
    <row r="416" spans="1:9">
      <c r="A416" s="569"/>
      <c r="B416" s="569"/>
      <c r="C416" s="569"/>
      <c r="D416" s="569"/>
      <c r="E416" s="569"/>
      <c r="F416" s="569"/>
      <c r="G416" s="569"/>
      <c r="H416" s="569"/>
      <c r="I416" s="569"/>
    </row>
    <row r="417" spans="1:9">
      <c r="A417" s="569"/>
      <c r="B417" s="569"/>
      <c r="C417" s="569"/>
      <c r="D417" s="569"/>
      <c r="E417" s="569"/>
      <c r="F417" s="569"/>
      <c r="G417" s="569"/>
      <c r="H417" s="569"/>
      <c r="I417" s="569"/>
    </row>
    <row r="418" spans="1:9">
      <c r="A418" s="569"/>
      <c r="B418" s="569"/>
      <c r="C418" s="569"/>
      <c r="D418" s="569"/>
      <c r="E418" s="569"/>
      <c r="F418" s="569"/>
      <c r="G418" s="569"/>
      <c r="H418" s="569"/>
      <c r="I418" s="569"/>
    </row>
    <row r="419" spans="1:9">
      <c r="A419" s="569"/>
      <c r="B419" s="569"/>
      <c r="C419" s="569"/>
      <c r="D419" s="569"/>
      <c r="E419" s="569"/>
      <c r="F419" s="569"/>
      <c r="G419" s="569"/>
      <c r="H419" s="569"/>
      <c r="I419" s="569"/>
    </row>
    <row r="420" spans="1:9">
      <c r="A420" s="572"/>
      <c r="B420" s="572"/>
      <c r="C420" s="572"/>
      <c r="D420" s="572"/>
      <c r="E420" s="573"/>
      <c r="F420" s="573"/>
      <c r="G420" s="574"/>
      <c r="H420" s="574"/>
      <c r="I420" s="574"/>
    </row>
    <row r="421" spans="1:9">
      <c r="A421" s="572"/>
      <c r="B421" s="572"/>
      <c r="C421" s="572"/>
      <c r="D421" s="572"/>
      <c r="E421" s="573"/>
      <c r="F421" s="573"/>
      <c r="G421" s="574"/>
      <c r="H421" s="574"/>
      <c r="I421" s="574"/>
    </row>
    <row r="422" spans="1:9">
      <c r="A422" s="572"/>
      <c r="B422" s="572"/>
      <c r="C422" s="572"/>
      <c r="D422" s="572"/>
      <c r="E422" s="573"/>
      <c r="F422" s="573"/>
      <c r="G422" s="574"/>
      <c r="H422" s="574"/>
      <c r="I422" s="574"/>
    </row>
    <row r="423" spans="1:9">
      <c r="A423" s="572"/>
      <c r="B423" s="572"/>
      <c r="C423" s="572"/>
      <c r="D423" s="572"/>
      <c r="E423" s="573"/>
      <c r="F423" s="573"/>
      <c r="G423" s="574"/>
      <c r="H423" s="574"/>
      <c r="I423" s="574"/>
    </row>
    <row r="424" spans="1:9">
      <c r="A424" s="572"/>
      <c r="B424" s="572"/>
      <c r="C424" s="572"/>
      <c r="D424" s="572"/>
      <c r="E424" s="573"/>
      <c r="F424" s="573"/>
      <c r="G424" s="574"/>
      <c r="H424" s="574"/>
      <c r="I424" s="574"/>
    </row>
    <row r="425" spans="1:9">
      <c r="A425" s="572"/>
      <c r="B425" s="572"/>
      <c r="C425" s="572"/>
      <c r="D425" s="572"/>
      <c r="E425" s="573"/>
      <c r="F425" s="573"/>
      <c r="G425" s="574"/>
      <c r="H425" s="574"/>
      <c r="I425" s="574"/>
    </row>
    <row r="426" spans="1:9">
      <c r="A426" s="572"/>
      <c r="B426" s="572"/>
      <c r="C426" s="572"/>
      <c r="D426" s="572"/>
      <c r="E426" s="573"/>
      <c r="F426" s="573"/>
      <c r="G426" s="574"/>
      <c r="H426" s="574"/>
      <c r="I426" s="574"/>
    </row>
    <row r="427" spans="1:9">
      <c r="A427" s="572"/>
      <c r="B427" s="572"/>
      <c r="C427" s="572"/>
      <c r="D427" s="572"/>
      <c r="E427" s="573"/>
      <c r="F427" s="573"/>
      <c r="G427" s="574"/>
      <c r="H427" s="574"/>
      <c r="I427" s="574"/>
    </row>
    <row r="428" spans="1:9">
      <c r="A428" s="572"/>
      <c r="B428" s="572"/>
      <c r="C428" s="572"/>
      <c r="D428" s="572"/>
      <c r="E428" s="573"/>
      <c r="F428" s="573"/>
      <c r="G428" s="574"/>
      <c r="H428" s="574"/>
      <c r="I428" s="574"/>
    </row>
    <row r="429" spans="1:9">
      <c r="A429" s="572"/>
      <c r="B429" s="572"/>
      <c r="C429" s="572"/>
      <c r="D429" s="572"/>
      <c r="E429" s="573"/>
      <c r="F429" s="573"/>
      <c r="G429" s="574"/>
      <c r="H429" s="574"/>
      <c r="I429" s="574"/>
    </row>
    <row r="430" spans="1:9">
      <c r="A430" s="572"/>
      <c r="B430" s="572"/>
      <c r="C430" s="572"/>
      <c r="D430" s="572"/>
      <c r="E430" s="573"/>
      <c r="F430" s="573"/>
      <c r="G430" s="574"/>
      <c r="H430" s="574"/>
      <c r="I430" s="574"/>
    </row>
    <row r="431" spans="1:9">
      <c r="A431" s="572"/>
      <c r="B431" s="572"/>
      <c r="C431" s="572"/>
      <c r="D431" s="572"/>
      <c r="E431" s="573"/>
      <c r="F431" s="573"/>
      <c r="G431" s="574"/>
      <c r="H431" s="574"/>
      <c r="I431" s="574"/>
    </row>
    <row r="432" spans="1:9">
      <c r="A432" s="572"/>
      <c r="B432" s="572"/>
      <c r="C432" s="572"/>
      <c r="D432" s="572"/>
      <c r="E432" s="573"/>
      <c r="F432" s="573"/>
      <c r="G432" s="574"/>
      <c r="H432" s="574"/>
      <c r="I432" s="574"/>
    </row>
    <row r="433" spans="1:9">
      <c r="A433" s="573"/>
      <c r="B433" s="573"/>
      <c r="C433" s="573"/>
      <c r="D433" s="575"/>
      <c r="E433" s="576"/>
      <c r="F433" s="573"/>
      <c r="G433" s="574"/>
      <c r="H433" s="574"/>
      <c r="I433" s="574"/>
    </row>
    <row r="434" spans="1:9">
      <c r="A434" s="573"/>
      <c r="B434" s="573"/>
      <c r="C434" s="573"/>
      <c r="D434" s="573"/>
      <c r="E434" s="573"/>
      <c r="F434" s="573"/>
      <c r="G434" s="574"/>
      <c r="H434" s="574"/>
      <c r="I434" s="574"/>
    </row>
    <row r="435" spans="1:9">
      <c r="A435" s="573"/>
      <c r="B435" s="573"/>
      <c r="C435" s="573"/>
      <c r="D435" s="573"/>
      <c r="E435" s="573"/>
      <c r="F435" s="573"/>
      <c r="G435" s="574"/>
      <c r="H435" s="574"/>
      <c r="I435" s="574"/>
    </row>
    <row r="436" spans="1:9">
      <c r="A436" s="573"/>
      <c r="B436" s="573"/>
      <c r="C436" s="573"/>
      <c r="D436" s="573"/>
      <c r="E436" s="573"/>
      <c r="F436" s="573"/>
      <c r="G436" s="574"/>
      <c r="H436" s="574"/>
      <c r="I436" s="574"/>
    </row>
    <row r="437" spans="1:9">
      <c r="A437" s="573"/>
      <c r="B437" s="573"/>
      <c r="C437" s="573"/>
      <c r="D437" s="573"/>
      <c r="E437" s="573"/>
      <c r="F437" s="573"/>
      <c r="G437" s="574"/>
      <c r="H437" s="574"/>
      <c r="I437" s="574"/>
    </row>
    <row r="438" spans="1:9">
      <c r="A438" s="573"/>
      <c r="B438" s="573"/>
      <c r="C438" s="573"/>
      <c r="D438" s="573"/>
      <c r="E438" s="573"/>
      <c r="F438" s="573"/>
      <c r="G438" s="574"/>
      <c r="H438" s="574"/>
      <c r="I438" s="574"/>
    </row>
    <row r="439" spans="1:9">
      <c r="A439" s="577"/>
      <c r="B439" s="573"/>
      <c r="C439" s="573"/>
      <c r="D439" s="573"/>
      <c r="E439" s="573"/>
      <c r="F439" s="573"/>
      <c r="G439" s="574"/>
      <c r="H439" s="574"/>
      <c r="I439" s="574"/>
    </row>
    <row r="440" spans="1:9">
      <c r="A440" s="578"/>
      <c r="B440" s="573"/>
      <c r="C440" s="573"/>
      <c r="D440" s="573"/>
      <c r="E440" s="573"/>
      <c r="F440" s="573"/>
      <c r="G440" s="574"/>
      <c r="H440" s="574"/>
      <c r="I440" s="574"/>
    </row>
    <row r="441" spans="1:9">
      <c r="A441" s="578"/>
      <c r="B441" s="573"/>
      <c r="C441" s="573"/>
      <c r="D441" s="573"/>
      <c r="E441" s="573"/>
      <c r="F441" s="573"/>
      <c r="G441" s="574"/>
      <c r="H441" s="574"/>
      <c r="I441" s="574"/>
    </row>
    <row r="442" spans="1:9">
      <c r="A442" s="575"/>
      <c r="B442" s="576"/>
      <c r="C442" s="573"/>
      <c r="D442" s="573"/>
      <c r="E442" s="573"/>
      <c r="F442" s="573"/>
      <c r="G442" s="574"/>
      <c r="H442" s="574"/>
      <c r="I442" s="574"/>
    </row>
    <row r="443" spans="1:9">
      <c r="A443" s="578"/>
      <c r="B443" s="573"/>
      <c r="C443" s="573"/>
      <c r="D443" s="573"/>
      <c r="E443" s="573"/>
      <c r="F443" s="573"/>
      <c r="G443" s="574"/>
      <c r="H443" s="574"/>
      <c r="I443" s="574"/>
    </row>
    <row r="444" spans="1:9">
      <c r="A444" s="578"/>
      <c r="B444" s="573"/>
      <c r="C444" s="573"/>
      <c r="D444" s="573"/>
      <c r="E444" s="573"/>
      <c r="F444" s="573"/>
      <c r="G444" s="574"/>
      <c r="H444" s="574"/>
      <c r="I444" s="574"/>
    </row>
    <row r="445" spans="1:9">
      <c r="A445" s="578"/>
      <c r="B445" s="573"/>
      <c r="C445" s="573"/>
      <c r="D445" s="573"/>
      <c r="E445" s="573"/>
      <c r="F445" s="573"/>
      <c r="G445" s="574"/>
      <c r="H445" s="574"/>
      <c r="I445" s="574"/>
    </row>
    <row r="446" spans="1:9">
      <c r="A446" s="578"/>
      <c r="B446" s="573"/>
      <c r="C446" s="573"/>
      <c r="D446" s="573"/>
      <c r="E446" s="573"/>
      <c r="F446" s="573"/>
      <c r="G446" s="574"/>
      <c r="H446" s="574"/>
      <c r="I446" s="574"/>
    </row>
    <row r="447" spans="1:9">
      <c r="A447" s="577"/>
      <c r="B447" s="573"/>
      <c r="C447" s="573"/>
      <c r="D447" s="573"/>
      <c r="E447" s="573"/>
      <c r="F447" s="573"/>
      <c r="G447" s="574"/>
      <c r="H447" s="574"/>
      <c r="I447" s="574"/>
    </row>
    <row r="448" spans="1:9">
      <c r="A448" s="578"/>
      <c r="B448" s="573"/>
      <c r="C448" s="573"/>
      <c r="D448" s="573"/>
      <c r="E448" s="573"/>
      <c r="F448" s="573"/>
      <c r="G448" s="574"/>
      <c r="H448" s="574"/>
      <c r="I448" s="574"/>
    </row>
    <row r="449" spans="1:9">
      <c r="A449" s="578"/>
      <c r="B449" s="573"/>
      <c r="C449" s="573"/>
      <c r="D449" s="573"/>
      <c r="E449" s="573"/>
      <c r="F449" s="573"/>
      <c r="G449" s="574"/>
      <c r="H449" s="574"/>
      <c r="I449" s="574"/>
    </row>
    <row r="450" spans="1:9">
      <c r="A450" s="575"/>
      <c r="B450" s="576"/>
      <c r="C450" s="573"/>
      <c r="D450" s="573"/>
      <c r="E450" s="573"/>
      <c r="F450" s="573"/>
      <c r="G450" s="574"/>
      <c r="H450" s="574"/>
      <c r="I450" s="574"/>
    </row>
    <row r="451" spans="1:9">
      <c r="A451" s="573"/>
      <c r="B451" s="573"/>
      <c r="C451" s="573"/>
      <c r="D451" s="573"/>
      <c r="E451" s="573"/>
      <c r="F451" s="573"/>
      <c r="G451" s="574"/>
      <c r="H451" s="574"/>
      <c r="I451" s="574"/>
    </row>
    <row r="452" spans="1:9">
      <c r="A452" s="573"/>
      <c r="B452" s="573"/>
      <c r="C452" s="573"/>
      <c r="D452" s="573"/>
      <c r="E452" s="573"/>
      <c r="F452" s="573"/>
      <c r="G452" s="574"/>
      <c r="H452" s="574"/>
      <c r="I452" s="574"/>
    </row>
    <row r="453" spans="1:9">
      <c r="A453" s="573"/>
      <c r="B453" s="573"/>
      <c r="C453" s="573"/>
      <c r="D453" s="573"/>
      <c r="E453" s="573"/>
      <c r="F453" s="573"/>
      <c r="G453" s="574"/>
      <c r="H453" s="574"/>
      <c r="I453" s="574"/>
    </row>
    <row r="454" spans="1:9">
      <c r="A454" s="573"/>
      <c r="B454" s="573"/>
      <c r="C454" s="573"/>
      <c r="D454" s="573"/>
      <c r="E454" s="573"/>
      <c r="F454" s="573"/>
      <c r="G454" s="574"/>
      <c r="H454" s="574"/>
      <c r="I454" s="574"/>
    </row>
    <row r="455" spans="1:9">
      <c r="A455" s="577"/>
      <c r="B455" s="573"/>
      <c r="C455" s="573"/>
      <c r="D455" s="573"/>
      <c r="E455" s="573"/>
      <c r="F455" s="573"/>
      <c r="G455" s="574"/>
      <c r="H455" s="574"/>
      <c r="I455" s="574"/>
    </row>
    <row r="456" spans="1:9">
      <c r="A456" s="572"/>
      <c r="B456" s="573"/>
      <c r="C456" s="573"/>
      <c r="D456" s="573"/>
      <c r="E456" s="573"/>
      <c r="F456" s="573"/>
      <c r="G456" s="574"/>
      <c r="H456" s="574"/>
      <c r="I456" s="574"/>
    </row>
    <row r="457" spans="1:9">
      <c r="A457" s="572"/>
      <c r="B457" s="573"/>
      <c r="C457" s="573"/>
      <c r="D457" s="573"/>
      <c r="E457" s="573"/>
      <c r="F457" s="573"/>
      <c r="G457" s="574"/>
      <c r="H457" s="574"/>
      <c r="I457" s="574"/>
    </row>
    <row r="458" spans="1:9">
      <c r="A458" s="575"/>
      <c r="B458" s="576"/>
      <c r="C458" s="573"/>
      <c r="D458" s="573"/>
      <c r="E458" s="573"/>
      <c r="F458" s="573"/>
      <c r="G458" s="574"/>
      <c r="H458" s="574"/>
      <c r="I458" s="574"/>
    </row>
    <row r="459" spans="1:9">
      <c r="A459" s="573"/>
      <c r="B459" s="573"/>
      <c r="C459" s="573"/>
      <c r="D459" s="573"/>
      <c r="E459" s="573"/>
      <c r="F459" s="573"/>
      <c r="G459" s="574"/>
      <c r="H459" s="574"/>
      <c r="I459" s="574"/>
    </row>
    <row r="460" spans="1:9">
      <c r="A460" s="573"/>
      <c r="B460" s="573"/>
      <c r="C460" s="573"/>
      <c r="D460" s="573"/>
      <c r="E460" s="573"/>
      <c r="F460" s="573"/>
      <c r="G460" s="574"/>
      <c r="H460" s="574"/>
      <c r="I460" s="574"/>
    </row>
    <row r="461" spans="1:9">
      <c r="A461" s="573"/>
      <c r="B461" s="573"/>
      <c r="C461" s="573"/>
      <c r="D461" s="573"/>
      <c r="E461" s="573"/>
      <c r="F461" s="573"/>
      <c r="G461" s="574"/>
      <c r="H461" s="574"/>
      <c r="I461" s="574"/>
    </row>
    <row r="462" spans="1:9">
      <c r="A462" s="573"/>
      <c r="B462" s="573"/>
      <c r="C462" s="573"/>
      <c r="D462" s="573"/>
      <c r="E462" s="573"/>
      <c r="F462" s="573"/>
      <c r="G462" s="574"/>
      <c r="H462" s="574"/>
      <c r="I462" s="574"/>
    </row>
    <row r="463" spans="1:9">
      <c r="A463" s="577"/>
      <c r="B463" s="576"/>
      <c r="C463" s="579"/>
      <c r="D463" s="573"/>
      <c r="E463" s="573"/>
      <c r="F463" s="573"/>
      <c r="G463" s="574"/>
      <c r="H463" s="574"/>
      <c r="I463" s="574"/>
    </row>
    <row r="464" spans="1:9">
      <c r="A464" s="578"/>
      <c r="B464" s="576"/>
      <c r="C464" s="574"/>
      <c r="D464" s="574"/>
      <c r="E464" s="574"/>
      <c r="F464" s="574"/>
      <c r="G464" s="574"/>
      <c r="H464" s="574"/>
      <c r="I464" s="574"/>
    </row>
    <row r="465" spans="1:9">
      <c r="A465" s="578"/>
      <c r="B465" s="576"/>
      <c r="C465" s="573"/>
      <c r="D465" s="573"/>
      <c r="E465" s="573"/>
      <c r="F465" s="573"/>
      <c r="G465" s="574"/>
      <c r="H465" s="574"/>
      <c r="I465" s="574"/>
    </row>
    <row r="466" spans="1:9">
      <c r="A466" s="578"/>
      <c r="B466" s="576"/>
      <c r="C466" s="573"/>
      <c r="D466" s="573"/>
      <c r="E466" s="573"/>
      <c r="F466" s="573"/>
      <c r="G466" s="574"/>
      <c r="H466" s="574"/>
      <c r="I466" s="574"/>
    </row>
    <row r="467" spans="1:9">
      <c r="A467" s="578"/>
      <c r="B467" s="576"/>
      <c r="C467" s="573"/>
      <c r="D467" s="573"/>
      <c r="E467" s="573"/>
      <c r="F467" s="573"/>
      <c r="G467" s="574"/>
      <c r="H467" s="574"/>
      <c r="I467" s="574"/>
    </row>
    <row r="468" spans="1:9">
      <c r="A468" s="578"/>
      <c r="B468" s="576"/>
      <c r="C468" s="573"/>
      <c r="D468" s="573"/>
      <c r="E468" s="573"/>
      <c r="F468" s="573"/>
      <c r="G468" s="574"/>
      <c r="H468" s="574"/>
      <c r="I468" s="574"/>
    </row>
    <row r="469" spans="1:9">
      <c r="A469" s="578"/>
      <c r="B469" s="576"/>
      <c r="C469" s="573"/>
      <c r="D469" s="573"/>
      <c r="E469" s="573"/>
      <c r="F469" s="573"/>
      <c r="G469" s="574"/>
      <c r="H469" s="574"/>
      <c r="I469" s="574"/>
    </row>
    <row r="470" spans="1:9">
      <c r="A470" s="578"/>
      <c r="B470" s="576"/>
      <c r="C470" s="573"/>
      <c r="D470" s="573"/>
      <c r="E470" s="573"/>
      <c r="F470" s="573"/>
      <c r="G470" s="574"/>
      <c r="H470" s="574"/>
      <c r="I470" s="574"/>
    </row>
    <row r="471" spans="1:9">
      <c r="A471" s="578"/>
      <c r="B471" s="576"/>
      <c r="C471" s="573"/>
      <c r="D471" s="573"/>
      <c r="E471" s="573"/>
      <c r="F471" s="573"/>
      <c r="G471" s="574"/>
      <c r="H471" s="574"/>
      <c r="I471" s="574"/>
    </row>
    <row r="472" spans="1:9">
      <c r="A472" s="575"/>
      <c r="B472" s="576"/>
      <c r="C472" s="573"/>
      <c r="D472" s="573"/>
      <c r="E472" s="573"/>
      <c r="F472" s="573"/>
      <c r="G472" s="574"/>
      <c r="H472" s="574"/>
      <c r="I472" s="574"/>
    </row>
    <row r="473" spans="1:9">
      <c r="A473" s="574"/>
      <c r="B473" s="574"/>
      <c r="C473" s="573"/>
      <c r="D473" s="573"/>
      <c r="E473" s="573"/>
      <c r="F473" s="573"/>
      <c r="G473" s="574"/>
      <c r="H473" s="574"/>
      <c r="I473" s="574"/>
    </row>
    <row r="474" spans="1:9">
      <c r="A474" s="574"/>
      <c r="B474" s="574"/>
      <c r="C474" s="573"/>
      <c r="D474" s="573"/>
      <c r="E474" s="573"/>
      <c r="F474" s="573"/>
      <c r="G474" s="574"/>
      <c r="H474" s="574"/>
      <c r="I474" s="574"/>
    </row>
    <row r="475" spans="1:9">
      <c r="A475" s="574"/>
      <c r="B475" s="574"/>
      <c r="C475" s="573"/>
      <c r="D475" s="573"/>
      <c r="E475" s="573"/>
      <c r="F475" s="573"/>
      <c r="G475" s="574"/>
      <c r="H475" s="574"/>
      <c r="I475" s="574"/>
    </row>
    <row r="476" spans="1:9">
      <c r="A476" s="574"/>
      <c r="B476" s="574"/>
      <c r="C476" s="573"/>
      <c r="D476" s="573"/>
      <c r="E476" s="573"/>
      <c r="F476" s="573"/>
      <c r="G476" s="574"/>
      <c r="H476" s="574"/>
      <c r="I476" s="574"/>
    </row>
    <row r="477" spans="1:9">
      <c r="A477" s="572"/>
      <c r="B477" s="580"/>
      <c r="C477" s="572"/>
      <c r="D477" s="580"/>
      <c r="E477" s="572"/>
      <c r="F477" s="580"/>
      <c r="G477" s="575"/>
      <c r="H477" s="576"/>
      <c r="I477" s="576"/>
    </row>
    <row r="478" spans="1:9">
      <c r="A478" s="581"/>
      <c r="B478" s="574"/>
      <c r="C478" s="573"/>
      <c r="D478" s="573"/>
      <c r="E478" s="573"/>
      <c r="F478" s="573"/>
      <c r="G478" s="574"/>
      <c r="H478" s="574"/>
      <c r="I478" s="574"/>
    </row>
    <row r="479" spans="1:9">
      <c r="A479" s="574"/>
      <c r="B479" s="574"/>
      <c r="C479" s="573"/>
      <c r="D479" s="573"/>
      <c r="E479" s="573"/>
      <c r="F479" s="573"/>
      <c r="G479" s="574"/>
      <c r="H479" s="574"/>
      <c r="I479" s="574"/>
    </row>
    <row r="480" spans="1:9">
      <c r="A480" s="574"/>
      <c r="B480" s="574"/>
      <c r="C480" s="573"/>
      <c r="D480" s="573"/>
      <c r="E480" s="573"/>
      <c r="F480" s="573"/>
      <c r="G480" s="574"/>
      <c r="H480" s="574"/>
      <c r="I480" s="574"/>
    </row>
    <row r="481" spans="1:9">
      <c r="A481" s="582"/>
      <c r="B481" s="582"/>
      <c r="C481" s="582"/>
      <c r="D481" s="582"/>
      <c r="E481" s="582"/>
      <c r="F481" s="582"/>
      <c r="G481" s="582"/>
      <c r="H481" s="574"/>
      <c r="I481" s="574"/>
    </row>
    <row r="482" spans="1:9">
      <c r="A482" s="582"/>
      <c r="B482" s="582"/>
      <c r="C482" s="582"/>
      <c r="D482" s="582"/>
      <c r="E482" s="582"/>
      <c r="F482" s="582"/>
      <c r="G482" s="582"/>
      <c r="H482" s="574"/>
      <c r="I482" s="574"/>
    </row>
    <row r="483" spans="1:9">
      <c r="A483" s="573"/>
      <c r="B483" s="573"/>
      <c r="C483" s="573"/>
      <c r="D483" s="573"/>
      <c r="E483" s="573"/>
      <c r="F483" s="573"/>
      <c r="G483" s="574"/>
      <c r="H483" s="574"/>
      <c r="I483" s="574"/>
    </row>
    <row r="484" spans="1:9">
      <c r="A484" s="577"/>
      <c r="B484" s="573"/>
      <c r="C484" s="573"/>
      <c r="D484" s="573"/>
      <c r="E484" s="573"/>
      <c r="F484" s="573"/>
      <c r="G484" s="574"/>
      <c r="H484" s="574"/>
      <c r="I484" s="574"/>
    </row>
    <row r="485" spans="1:9">
      <c r="A485" s="578"/>
      <c r="B485" s="573"/>
      <c r="C485" s="573"/>
      <c r="D485" s="573"/>
      <c r="E485" s="573"/>
      <c r="F485" s="573"/>
      <c r="G485" s="574"/>
      <c r="H485" s="574"/>
      <c r="I485" s="574"/>
    </row>
    <row r="486" spans="1:9">
      <c r="A486" s="578"/>
      <c r="B486" s="573"/>
      <c r="C486" s="573"/>
      <c r="D486" s="573"/>
      <c r="E486" s="573"/>
      <c r="F486" s="573"/>
      <c r="G486" s="574"/>
      <c r="H486" s="574"/>
      <c r="I486" s="574"/>
    </row>
    <row r="487" spans="1:9">
      <c r="A487" s="578"/>
      <c r="B487" s="573"/>
      <c r="C487" s="573"/>
      <c r="D487" s="573"/>
      <c r="E487" s="573"/>
      <c r="F487" s="573"/>
      <c r="G487" s="574"/>
      <c r="H487" s="574"/>
      <c r="I487" s="574"/>
    </row>
    <row r="488" spans="1:9">
      <c r="A488" s="578"/>
      <c r="B488" s="573"/>
      <c r="C488" s="573"/>
      <c r="D488" s="573"/>
      <c r="E488" s="573"/>
      <c r="F488" s="573"/>
      <c r="G488" s="574"/>
      <c r="H488" s="574"/>
      <c r="I488" s="574"/>
    </row>
    <row r="489" spans="1:9">
      <c r="A489" s="575"/>
      <c r="B489" s="576"/>
      <c r="C489" s="573"/>
      <c r="D489" s="573"/>
      <c r="E489" s="573"/>
      <c r="F489" s="573"/>
      <c r="G489" s="574"/>
      <c r="H489" s="574"/>
      <c r="I489" s="574"/>
    </row>
    <row r="490" spans="1:9">
      <c r="A490" s="573"/>
      <c r="B490" s="573"/>
      <c r="C490" s="573"/>
      <c r="D490" s="573"/>
      <c r="E490" s="573"/>
      <c r="F490" s="573"/>
      <c r="G490" s="574"/>
      <c r="H490" s="574"/>
      <c r="I490" s="574"/>
    </row>
    <row r="491" spans="1:9">
      <c r="A491" s="573"/>
      <c r="B491" s="573"/>
      <c r="C491" s="573"/>
      <c r="D491" s="573"/>
      <c r="E491" s="573"/>
      <c r="F491" s="573"/>
      <c r="G491" s="574"/>
      <c r="H491" s="574"/>
      <c r="I491" s="574"/>
    </row>
    <row r="492" spans="1:9">
      <c r="A492" s="573"/>
      <c r="B492" s="573"/>
      <c r="C492" s="573"/>
      <c r="D492" s="573"/>
      <c r="E492" s="573"/>
      <c r="F492" s="573"/>
      <c r="G492" s="574"/>
      <c r="H492" s="574"/>
      <c r="I492" s="574"/>
    </row>
    <row r="493" spans="1:9">
      <c r="A493" s="573"/>
      <c r="B493" s="573"/>
      <c r="C493" s="573"/>
      <c r="D493" s="573"/>
      <c r="E493" s="573"/>
      <c r="F493" s="573"/>
      <c r="G493" s="574"/>
      <c r="H493" s="574"/>
      <c r="I493" s="574"/>
    </row>
    <row r="494" spans="1:9">
      <c r="A494" s="573"/>
      <c r="B494" s="573"/>
      <c r="C494" s="573"/>
      <c r="D494" s="573"/>
      <c r="E494" s="573"/>
      <c r="F494" s="573"/>
      <c r="G494" s="574"/>
      <c r="H494" s="574"/>
      <c r="I494" s="574"/>
    </row>
    <row r="495" spans="1:9">
      <c r="A495" s="577"/>
      <c r="B495" s="577"/>
      <c r="C495" s="577"/>
      <c r="D495" s="577"/>
      <c r="E495" s="573"/>
      <c r="F495" s="573"/>
      <c r="G495" s="574"/>
      <c r="H495" s="574"/>
      <c r="I495" s="574"/>
    </row>
    <row r="496" spans="1:9">
      <c r="A496" s="578"/>
      <c r="B496" s="578"/>
      <c r="C496" s="578"/>
      <c r="D496" s="578"/>
      <c r="E496" s="573"/>
      <c r="F496" s="573"/>
      <c r="G496" s="574"/>
      <c r="H496" s="574"/>
      <c r="I496" s="574"/>
    </row>
    <row r="497" spans="1:9">
      <c r="A497" s="578"/>
      <c r="B497" s="578"/>
      <c r="C497" s="578"/>
      <c r="D497" s="578"/>
      <c r="E497" s="573"/>
      <c r="F497" s="573"/>
      <c r="G497" s="574"/>
      <c r="H497" s="574"/>
      <c r="I497" s="574"/>
    </row>
    <row r="498" spans="1:9">
      <c r="A498" s="578"/>
      <c r="B498" s="578"/>
      <c r="C498" s="578"/>
      <c r="D498" s="578"/>
      <c r="E498" s="573"/>
      <c r="F498" s="573"/>
      <c r="G498" s="574"/>
      <c r="H498" s="574"/>
      <c r="I498" s="574"/>
    </row>
    <row r="499" spans="1:9">
      <c r="A499" s="578"/>
      <c r="B499" s="578"/>
      <c r="C499" s="578"/>
      <c r="D499" s="578"/>
      <c r="E499" s="573"/>
      <c r="F499" s="573"/>
      <c r="G499" s="574"/>
      <c r="H499" s="574"/>
      <c r="I499" s="574"/>
    </row>
    <row r="500" spans="1:9">
      <c r="A500" s="572"/>
      <c r="B500" s="572"/>
      <c r="C500" s="572"/>
      <c r="D500" s="578"/>
      <c r="E500" s="573"/>
      <c r="F500" s="573"/>
      <c r="G500" s="574"/>
      <c r="H500" s="574"/>
      <c r="I500" s="574"/>
    </row>
    <row r="501" spans="1:9">
      <c r="A501" s="572"/>
      <c r="B501" s="572"/>
      <c r="C501" s="572"/>
      <c r="D501" s="578"/>
      <c r="E501" s="573"/>
      <c r="F501" s="573"/>
      <c r="G501" s="574"/>
      <c r="H501" s="574"/>
      <c r="I501" s="574"/>
    </row>
    <row r="502" spans="1:9">
      <c r="A502" s="573"/>
      <c r="B502" s="573"/>
      <c r="C502" s="573"/>
      <c r="D502" s="575"/>
      <c r="E502" s="576"/>
      <c r="F502" s="573"/>
      <c r="G502" s="574"/>
      <c r="H502" s="574"/>
      <c r="I502" s="574"/>
    </row>
    <row r="503" spans="1:9">
      <c r="A503" s="573"/>
      <c r="B503" s="573"/>
      <c r="C503" s="573"/>
      <c r="D503" s="573"/>
      <c r="E503" s="573"/>
      <c r="F503" s="573"/>
      <c r="G503" s="574"/>
      <c r="H503" s="574"/>
      <c r="I503" s="574"/>
    </row>
    <row r="504" spans="1:9">
      <c r="A504" s="573"/>
      <c r="B504" s="573"/>
      <c r="C504" s="573"/>
      <c r="D504" s="573"/>
      <c r="E504" s="573"/>
      <c r="F504" s="573"/>
      <c r="G504" s="574"/>
      <c r="H504" s="574"/>
      <c r="I504" s="574"/>
    </row>
    <row r="505" spans="1:9">
      <c r="A505" s="573"/>
      <c r="B505" s="573"/>
      <c r="C505" s="573"/>
      <c r="D505" s="573"/>
      <c r="E505" s="573"/>
      <c r="F505" s="573"/>
      <c r="G505" s="574"/>
      <c r="H505" s="574"/>
      <c r="I505" s="574"/>
    </row>
    <row r="506" spans="1:9">
      <c r="A506" s="573"/>
      <c r="B506" s="573"/>
      <c r="C506" s="573"/>
      <c r="D506" s="573"/>
      <c r="E506" s="573"/>
      <c r="F506" s="573"/>
      <c r="G506" s="574"/>
      <c r="H506" s="574"/>
      <c r="I506" s="574"/>
    </row>
    <row r="507" spans="1:9">
      <c r="A507" s="577"/>
      <c r="B507" s="577"/>
      <c r="C507" s="577"/>
      <c r="D507" s="577"/>
      <c r="E507" s="573"/>
      <c r="F507" s="573"/>
      <c r="G507" s="574"/>
      <c r="H507" s="574"/>
      <c r="I507" s="574"/>
    </row>
    <row r="508" spans="1:9">
      <c r="A508" s="572"/>
      <c r="B508" s="572"/>
      <c r="C508" s="572"/>
      <c r="D508" s="578"/>
      <c r="E508" s="576"/>
      <c r="F508" s="573"/>
      <c r="G508" s="574"/>
      <c r="H508" s="574"/>
      <c r="I508" s="574"/>
    </row>
    <row r="509" spans="1:9">
      <c r="A509" s="572"/>
      <c r="B509" s="572"/>
      <c r="C509" s="572"/>
      <c r="D509" s="578"/>
      <c r="E509" s="576"/>
      <c r="F509" s="573"/>
      <c r="G509" s="574"/>
      <c r="H509" s="574"/>
      <c r="I509" s="574"/>
    </row>
    <row r="510" spans="1:9">
      <c r="A510" s="572"/>
      <c r="B510" s="572"/>
      <c r="C510" s="572"/>
      <c r="D510" s="578"/>
      <c r="E510" s="576"/>
      <c r="F510" s="573"/>
      <c r="G510" s="574"/>
      <c r="H510" s="574"/>
      <c r="I510" s="574"/>
    </row>
    <row r="511" spans="1:9">
      <c r="A511" s="572"/>
      <c r="B511" s="572"/>
      <c r="C511" s="572"/>
      <c r="D511" s="578"/>
      <c r="E511" s="576"/>
      <c r="F511" s="573"/>
      <c r="G511" s="574"/>
      <c r="H511" s="574"/>
      <c r="I511" s="574"/>
    </row>
    <row r="512" spans="1:9">
      <c r="A512" s="572"/>
      <c r="B512" s="572"/>
      <c r="C512" s="572"/>
      <c r="D512" s="578"/>
      <c r="E512" s="576"/>
      <c r="F512" s="573"/>
      <c r="G512" s="574"/>
      <c r="H512" s="574"/>
      <c r="I512" s="574"/>
    </row>
    <row r="513" spans="1:9">
      <c r="A513" s="572"/>
      <c r="B513" s="572"/>
      <c r="C513" s="572"/>
      <c r="D513" s="578"/>
      <c r="E513" s="576"/>
      <c r="F513" s="573"/>
      <c r="G513" s="574"/>
      <c r="H513" s="574"/>
      <c r="I513" s="574"/>
    </row>
    <row r="514" spans="1:9">
      <c r="A514" s="572"/>
      <c r="B514" s="572"/>
      <c r="C514" s="572"/>
      <c r="D514" s="578"/>
      <c r="E514" s="576"/>
      <c r="F514" s="573"/>
      <c r="G514" s="574"/>
      <c r="H514" s="574"/>
      <c r="I514" s="574"/>
    </row>
    <row r="515" spans="1:9">
      <c r="A515" s="572"/>
      <c r="B515" s="572"/>
      <c r="C515" s="572"/>
      <c r="D515" s="578"/>
      <c r="E515" s="576"/>
      <c r="F515" s="573"/>
      <c r="G515" s="574"/>
      <c r="H515" s="574"/>
      <c r="I515" s="574"/>
    </row>
    <row r="516" spans="1:9">
      <c r="A516" s="572"/>
      <c r="B516" s="572"/>
      <c r="C516" s="572"/>
      <c r="D516" s="578"/>
      <c r="E516" s="576"/>
      <c r="F516" s="573"/>
      <c r="G516" s="574"/>
      <c r="H516" s="574"/>
      <c r="I516" s="574"/>
    </row>
    <row r="517" spans="1:9">
      <c r="A517" s="572"/>
      <c r="B517" s="572"/>
      <c r="C517" s="572"/>
      <c r="D517" s="578"/>
      <c r="E517" s="576"/>
      <c r="F517" s="573"/>
      <c r="G517" s="574"/>
      <c r="H517" s="574"/>
      <c r="I517" s="574"/>
    </row>
    <row r="518" spans="1:9">
      <c r="A518" s="572"/>
      <c r="B518" s="572"/>
      <c r="C518" s="572"/>
      <c r="D518" s="578"/>
      <c r="E518" s="576"/>
      <c r="F518" s="573"/>
      <c r="G518" s="574"/>
      <c r="H518" s="574"/>
      <c r="I518" s="574"/>
    </row>
    <row r="519" spans="1:9">
      <c r="A519" s="574"/>
      <c r="B519" s="574"/>
      <c r="C519" s="573"/>
      <c r="D519" s="575"/>
      <c r="E519" s="576"/>
      <c r="F519" s="573"/>
      <c r="G519" s="574"/>
      <c r="H519" s="574"/>
      <c r="I519" s="574"/>
    </row>
    <row r="520" spans="1:9">
      <c r="A520" s="573"/>
      <c r="B520" s="573"/>
      <c r="C520" s="573"/>
      <c r="D520" s="573"/>
      <c r="E520" s="573"/>
      <c r="F520" s="573"/>
      <c r="G520" s="574"/>
      <c r="H520" s="574"/>
      <c r="I520" s="574"/>
    </row>
    <row r="521" spans="1:9">
      <c r="A521" s="573"/>
      <c r="B521" s="573"/>
      <c r="C521" s="573"/>
      <c r="D521" s="573"/>
      <c r="E521" s="573"/>
      <c r="F521" s="573"/>
      <c r="G521" s="574"/>
      <c r="H521" s="574"/>
      <c r="I521" s="574"/>
    </row>
    <row r="522" spans="1:9">
      <c r="A522" s="582"/>
      <c r="B522" s="582"/>
      <c r="C522" s="582"/>
      <c r="D522" s="582"/>
      <c r="E522" s="582"/>
      <c r="F522" s="582"/>
      <c r="G522" s="582"/>
      <c r="H522" s="574"/>
      <c r="I522" s="574"/>
    </row>
    <row r="523" spans="1:9">
      <c r="A523" s="582"/>
      <c r="B523" s="582"/>
      <c r="C523" s="582"/>
      <c r="D523" s="582"/>
      <c r="E523" s="582"/>
      <c r="F523" s="582"/>
      <c r="G523" s="582"/>
      <c r="H523" s="574"/>
      <c r="I523" s="574"/>
    </row>
    <row r="524" spans="1:9">
      <c r="A524" s="573"/>
      <c r="B524" s="573"/>
      <c r="C524" s="573"/>
      <c r="D524" s="573"/>
      <c r="E524" s="573"/>
      <c r="F524" s="573"/>
      <c r="G524" s="574"/>
      <c r="H524" s="574"/>
      <c r="I524" s="574"/>
    </row>
    <row r="525" spans="1:9">
      <c r="A525" s="577"/>
      <c r="B525" s="573"/>
      <c r="C525" s="573"/>
      <c r="D525" s="573"/>
      <c r="E525" s="573"/>
      <c r="F525" s="573"/>
      <c r="G525" s="574"/>
      <c r="H525" s="574"/>
      <c r="I525" s="574"/>
    </row>
    <row r="526" spans="1:9">
      <c r="A526" s="578"/>
      <c r="B526" s="572"/>
      <c r="C526" s="574"/>
      <c r="D526" s="573"/>
      <c r="E526" s="573"/>
      <c r="F526" s="573"/>
      <c r="G526" s="574"/>
      <c r="H526" s="574"/>
      <c r="I526" s="574"/>
    </row>
    <row r="527" spans="1:9">
      <c r="A527" s="578"/>
      <c r="B527" s="573"/>
      <c r="C527" s="573"/>
      <c r="D527" s="573"/>
      <c r="E527" s="573"/>
      <c r="F527" s="573"/>
      <c r="G527" s="574"/>
      <c r="H527" s="574"/>
      <c r="I527" s="574"/>
    </row>
    <row r="528" spans="1:9">
      <c r="A528" s="575"/>
      <c r="B528" s="576"/>
      <c r="C528" s="573"/>
      <c r="D528" s="573"/>
      <c r="E528" s="573"/>
      <c r="F528" s="573"/>
      <c r="G528" s="574"/>
      <c r="H528" s="574"/>
      <c r="I528" s="574"/>
    </row>
    <row r="529" spans="1:9">
      <c r="A529" s="573"/>
      <c r="B529" s="573"/>
      <c r="C529" s="573"/>
      <c r="D529" s="573"/>
      <c r="E529" s="573"/>
      <c r="F529" s="573"/>
      <c r="G529" s="574"/>
      <c r="H529" s="574"/>
      <c r="I529" s="574"/>
    </row>
    <row r="530" spans="1:9">
      <c r="A530" s="573"/>
      <c r="B530" s="573"/>
      <c r="C530" s="573"/>
      <c r="D530" s="573"/>
      <c r="E530" s="573"/>
      <c r="F530" s="573"/>
      <c r="G530" s="574"/>
      <c r="H530" s="574"/>
      <c r="I530" s="574"/>
    </row>
    <row r="531" spans="1:9">
      <c r="A531" s="573"/>
      <c r="B531" s="573"/>
      <c r="C531" s="573"/>
      <c r="D531" s="573"/>
      <c r="E531" s="573"/>
      <c r="F531" s="573"/>
      <c r="G531" s="574"/>
      <c r="H531" s="574"/>
      <c r="I531" s="574"/>
    </row>
    <row r="532" spans="1:9">
      <c r="A532" s="573"/>
      <c r="B532" s="573"/>
      <c r="C532" s="573"/>
      <c r="D532" s="573"/>
      <c r="E532" s="573"/>
      <c r="F532" s="573"/>
      <c r="G532" s="574"/>
      <c r="H532" s="574"/>
      <c r="I532" s="574"/>
    </row>
    <row r="533" spans="1:9">
      <c r="A533" s="577"/>
      <c r="B533" s="577"/>
      <c r="C533" s="577"/>
      <c r="D533" s="577"/>
      <c r="E533" s="576"/>
      <c r="F533" s="573"/>
      <c r="G533" s="574"/>
      <c r="H533" s="574"/>
      <c r="I533" s="574"/>
    </row>
    <row r="534" spans="1:9">
      <c r="A534" s="572"/>
      <c r="B534" s="572"/>
      <c r="C534" s="578"/>
      <c r="D534" s="578"/>
      <c r="E534" s="576"/>
      <c r="F534" s="573"/>
      <c r="G534" s="574"/>
      <c r="H534" s="574"/>
      <c r="I534" s="574"/>
    </row>
    <row r="535" spans="1:9">
      <c r="A535" s="572"/>
      <c r="B535" s="572"/>
      <c r="C535" s="578"/>
      <c r="D535" s="578"/>
      <c r="E535" s="576"/>
      <c r="F535" s="573"/>
      <c r="G535" s="574"/>
      <c r="H535" s="574"/>
      <c r="I535" s="574"/>
    </row>
    <row r="536" spans="1:9">
      <c r="A536" s="574"/>
      <c r="B536" s="574"/>
      <c r="C536" s="573"/>
      <c r="D536" s="575"/>
      <c r="E536" s="576"/>
      <c r="F536" s="573"/>
      <c r="G536" s="574"/>
      <c r="H536" s="574"/>
      <c r="I536" s="574"/>
    </row>
    <row r="537" spans="1:9">
      <c r="A537" s="573"/>
      <c r="B537" s="573"/>
      <c r="C537" s="573"/>
      <c r="D537" s="573"/>
      <c r="E537" s="573"/>
      <c r="F537" s="573"/>
      <c r="G537" s="574"/>
      <c r="H537" s="574"/>
      <c r="I537" s="574"/>
    </row>
    <row r="538" spans="1:9">
      <c r="A538" s="573"/>
      <c r="B538" s="573"/>
      <c r="C538" s="573"/>
      <c r="D538" s="573"/>
      <c r="E538" s="573"/>
      <c r="F538" s="573"/>
      <c r="G538" s="574"/>
      <c r="H538" s="574"/>
      <c r="I538" s="574"/>
    </row>
    <row r="539" spans="1:9">
      <c r="A539" s="573"/>
      <c r="B539" s="573"/>
      <c r="C539" s="573"/>
      <c r="D539" s="573"/>
      <c r="E539" s="573"/>
      <c r="F539" s="573"/>
      <c r="G539" s="574"/>
      <c r="H539" s="574"/>
      <c r="I539" s="574"/>
    </row>
    <row r="540" spans="1:9">
      <c r="A540" s="573"/>
      <c r="B540" s="573"/>
      <c r="C540" s="573"/>
      <c r="D540" s="573"/>
      <c r="E540" s="573"/>
      <c r="F540" s="573"/>
      <c r="G540" s="574"/>
      <c r="H540" s="574"/>
      <c r="I540" s="574"/>
    </row>
    <row r="541" spans="1:9">
      <c r="A541" s="577"/>
      <c r="B541" s="577"/>
      <c r="C541" s="577"/>
      <c r="D541" s="577"/>
      <c r="E541" s="573"/>
      <c r="F541" s="573"/>
      <c r="G541" s="574"/>
      <c r="H541" s="574"/>
      <c r="I541" s="574"/>
    </row>
    <row r="542" spans="1:9">
      <c r="A542" s="572"/>
      <c r="B542" s="572"/>
      <c r="C542" s="572"/>
      <c r="D542" s="572"/>
      <c r="E542" s="573"/>
      <c r="F542" s="573"/>
      <c r="G542" s="574"/>
      <c r="H542" s="574"/>
      <c r="I542" s="574"/>
    </row>
    <row r="543" spans="1:9">
      <c r="A543" s="573"/>
      <c r="B543" s="573"/>
      <c r="C543" s="573"/>
      <c r="D543" s="575"/>
      <c r="E543" s="576"/>
      <c r="F543" s="573"/>
      <c r="G543" s="574"/>
      <c r="H543" s="574"/>
      <c r="I543" s="574"/>
    </row>
    <row r="544" spans="1:9">
      <c r="A544" s="573"/>
      <c r="B544" s="573"/>
      <c r="C544" s="573"/>
      <c r="D544" s="573"/>
      <c r="E544" s="573"/>
      <c r="F544" s="573"/>
      <c r="G544" s="574"/>
      <c r="H544" s="574"/>
      <c r="I544" s="574"/>
    </row>
    <row r="545" spans="1:9">
      <c r="A545" s="573"/>
      <c r="B545" s="573"/>
      <c r="C545" s="573"/>
      <c r="D545" s="573"/>
      <c r="E545" s="573"/>
      <c r="F545" s="573"/>
      <c r="G545" s="574"/>
      <c r="H545" s="574"/>
      <c r="I545" s="574"/>
    </row>
    <row r="546" spans="1:9">
      <c r="A546" s="573"/>
      <c r="B546" s="573"/>
      <c r="C546" s="573"/>
      <c r="D546" s="573"/>
      <c r="E546" s="573"/>
      <c r="F546" s="573"/>
      <c r="G546" s="574"/>
      <c r="H546" s="574"/>
      <c r="I546" s="574"/>
    </row>
    <row r="547" spans="1:9">
      <c r="A547" s="573"/>
      <c r="B547" s="573"/>
      <c r="C547" s="573"/>
      <c r="D547" s="573"/>
      <c r="E547" s="573"/>
      <c r="F547" s="573"/>
      <c r="G547" s="574"/>
      <c r="H547" s="574"/>
      <c r="I547" s="574"/>
    </row>
    <row r="548" spans="1:9">
      <c r="A548" s="577"/>
      <c r="B548" s="577"/>
      <c r="C548" s="577"/>
      <c r="D548" s="577"/>
      <c r="E548" s="573"/>
      <c r="F548" s="573"/>
      <c r="G548" s="574"/>
      <c r="H548" s="574"/>
      <c r="I548" s="574"/>
    </row>
    <row r="549" spans="1:9">
      <c r="A549" s="583"/>
      <c r="B549" s="572"/>
      <c r="C549" s="572"/>
      <c r="D549" s="572"/>
      <c r="E549" s="573"/>
      <c r="F549" s="573"/>
      <c r="G549" s="574"/>
      <c r="H549" s="574"/>
      <c r="I549" s="574"/>
    </row>
    <row r="550" spans="1:9">
      <c r="A550" s="583"/>
      <c r="B550" s="572"/>
      <c r="C550" s="572"/>
      <c r="D550" s="572"/>
      <c r="E550" s="573"/>
      <c r="F550" s="573"/>
      <c r="G550" s="574"/>
      <c r="H550" s="574"/>
      <c r="I550" s="574"/>
    </row>
    <row r="551" spans="1:9">
      <c r="A551" s="583"/>
      <c r="B551" s="572"/>
      <c r="C551" s="572"/>
      <c r="D551" s="572"/>
      <c r="E551" s="573"/>
      <c r="F551" s="573"/>
      <c r="G551" s="574"/>
      <c r="H551" s="574"/>
      <c r="I551" s="574"/>
    </row>
    <row r="552" spans="1:9">
      <c r="A552" s="573"/>
      <c r="B552" s="573"/>
      <c r="C552" s="573"/>
      <c r="D552" s="575"/>
      <c r="E552" s="576"/>
      <c r="F552" s="573"/>
      <c r="G552" s="574"/>
      <c r="H552" s="574"/>
      <c r="I552" s="574"/>
    </row>
    <row r="553" spans="1:9">
      <c r="A553" s="573"/>
      <c r="B553" s="573"/>
      <c r="C553" s="573"/>
      <c r="D553" s="573"/>
      <c r="E553" s="573"/>
      <c r="F553" s="573"/>
      <c r="G553" s="574"/>
      <c r="H553" s="574"/>
      <c r="I553" s="574"/>
    </row>
    <row r="554" spans="1:9">
      <c r="A554" s="573"/>
      <c r="B554" s="573"/>
      <c r="C554" s="573"/>
      <c r="D554" s="573"/>
      <c r="E554" s="573"/>
      <c r="F554" s="573"/>
      <c r="G554" s="574"/>
      <c r="H554" s="574"/>
      <c r="I554" s="574"/>
    </row>
    <row r="555" spans="1:9">
      <c r="A555" s="573"/>
      <c r="B555" s="573"/>
      <c r="C555" s="573"/>
      <c r="D555" s="573"/>
      <c r="E555" s="573"/>
      <c r="F555" s="573"/>
      <c r="G555" s="574"/>
      <c r="H555" s="574"/>
      <c r="I555" s="574"/>
    </row>
    <row r="556" spans="1:9">
      <c r="A556" s="573"/>
      <c r="B556" s="573"/>
      <c r="C556" s="573"/>
      <c r="D556" s="573"/>
      <c r="E556" s="573"/>
      <c r="F556" s="573"/>
      <c r="G556" s="574"/>
      <c r="H556" s="574"/>
      <c r="I556" s="574"/>
    </row>
    <row r="557" spans="1:9">
      <c r="A557" s="573"/>
      <c r="B557" s="573"/>
      <c r="C557" s="573"/>
      <c r="D557" s="573"/>
      <c r="E557" s="573"/>
      <c r="F557" s="573"/>
      <c r="G557" s="574"/>
      <c r="H557" s="574"/>
      <c r="I557" s="574"/>
    </row>
    <row r="558" spans="1:9">
      <c r="A558" s="577"/>
      <c r="B558" s="576"/>
      <c r="C558" s="573"/>
      <c r="D558" s="573"/>
      <c r="E558" s="573"/>
      <c r="F558" s="573"/>
      <c r="G558" s="574"/>
      <c r="H558" s="574"/>
      <c r="I558" s="574"/>
    </row>
    <row r="559" spans="1:9">
      <c r="A559" s="578"/>
      <c r="B559" s="576"/>
      <c r="C559" s="573"/>
      <c r="D559" s="573"/>
      <c r="E559" s="573"/>
      <c r="F559" s="573"/>
      <c r="G559" s="574"/>
      <c r="H559" s="574"/>
      <c r="I559" s="574"/>
    </row>
    <row r="560" spans="1:9">
      <c r="A560" s="578"/>
      <c r="B560" s="574"/>
      <c r="C560" s="573"/>
      <c r="D560" s="573"/>
      <c r="E560" s="573"/>
      <c r="F560" s="573"/>
      <c r="G560" s="574"/>
      <c r="H560" s="574"/>
      <c r="I560" s="574"/>
    </row>
    <row r="561" spans="1:9">
      <c r="A561" s="578"/>
      <c r="B561" s="574"/>
      <c r="C561" s="573"/>
      <c r="D561" s="573"/>
      <c r="E561" s="573"/>
      <c r="F561" s="573"/>
      <c r="G561" s="574"/>
      <c r="H561" s="574"/>
      <c r="I561" s="574"/>
    </row>
    <row r="562" spans="1:9">
      <c r="A562" s="575"/>
      <c r="B562" s="576"/>
      <c r="C562" s="573"/>
      <c r="D562" s="573"/>
      <c r="E562" s="573"/>
      <c r="F562" s="573"/>
      <c r="G562" s="574"/>
      <c r="H562" s="574"/>
      <c r="I562" s="574"/>
    </row>
    <row r="563" spans="1:9">
      <c r="A563" s="573"/>
      <c r="B563" s="573"/>
      <c r="C563" s="573"/>
      <c r="D563" s="573"/>
      <c r="E563" s="573"/>
      <c r="F563" s="573"/>
      <c r="G563" s="574"/>
      <c r="H563" s="574"/>
      <c r="I563" s="574"/>
    </row>
    <row r="564" spans="1:9">
      <c r="A564" s="573"/>
      <c r="B564" s="573"/>
      <c r="C564" s="573"/>
      <c r="D564" s="573"/>
      <c r="E564" s="573"/>
      <c r="F564" s="573"/>
      <c r="G564" s="574"/>
      <c r="H564" s="574"/>
      <c r="I564" s="574"/>
    </row>
    <row r="565" spans="1:9">
      <c r="A565" s="573"/>
      <c r="B565" s="573"/>
      <c r="C565" s="573"/>
      <c r="D565" s="573"/>
      <c r="E565" s="573"/>
      <c r="F565" s="573"/>
      <c r="G565" s="574"/>
      <c r="H565" s="574"/>
      <c r="I565" s="574"/>
    </row>
    <row r="566" spans="1:9">
      <c r="A566" s="573"/>
      <c r="B566" s="573"/>
      <c r="C566" s="573"/>
      <c r="D566" s="573"/>
      <c r="E566" s="573"/>
      <c r="F566" s="573"/>
      <c r="G566" s="574"/>
      <c r="H566" s="574"/>
      <c r="I566" s="574"/>
    </row>
    <row r="567" spans="1:9">
      <c r="A567" s="584"/>
      <c r="B567" s="584"/>
      <c r="C567" s="575"/>
      <c r="D567" s="576"/>
      <c r="E567" s="573"/>
      <c r="F567" s="573"/>
      <c r="G567" s="574"/>
      <c r="H567" s="574"/>
      <c r="I567" s="574"/>
    </row>
    <row r="568" spans="1:9">
      <c r="A568" s="573"/>
      <c r="B568" s="573"/>
      <c r="C568" s="573"/>
      <c r="D568" s="573"/>
      <c r="E568" s="573"/>
      <c r="F568" s="573"/>
      <c r="G568" s="574"/>
      <c r="H568" s="574"/>
      <c r="I568" s="574"/>
    </row>
    <row r="569" spans="1:9">
      <c r="A569" s="573"/>
      <c r="B569" s="573"/>
      <c r="C569" s="573"/>
      <c r="D569" s="573"/>
      <c r="E569" s="573"/>
      <c r="F569" s="573"/>
      <c r="G569" s="574"/>
      <c r="H569" s="574"/>
      <c r="I569" s="574"/>
    </row>
    <row r="570" spans="1:9">
      <c r="A570" s="582"/>
      <c r="B570" s="582"/>
      <c r="C570" s="582"/>
      <c r="D570" s="582"/>
      <c r="E570" s="582"/>
      <c r="F570" s="582"/>
      <c r="G570" s="582"/>
      <c r="H570" s="574"/>
      <c r="I570" s="574"/>
    </row>
    <row r="571" spans="1:9">
      <c r="A571" s="582"/>
      <c r="B571" s="582"/>
      <c r="C571" s="582"/>
      <c r="D571" s="582"/>
      <c r="E571" s="582"/>
      <c r="F571" s="582"/>
      <c r="G571" s="582"/>
      <c r="H571" s="574"/>
      <c r="I571" s="574"/>
    </row>
    <row r="572" spans="1:9">
      <c r="A572" s="573"/>
      <c r="B572" s="573"/>
      <c r="C572" s="573"/>
      <c r="D572" s="573"/>
      <c r="E572" s="573"/>
      <c r="F572" s="573"/>
      <c r="G572" s="574"/>
      <c r="H572" s="574"/>
      <c r="I572" s="574"/>
    </row>
    <row r="573" spans="1:9">
      <c r="A573" s="577"/>
      <c r="B573" s="573"/>
      <c r="C573" s="573"/>
      <c r="D573" s="573"/>
      <c r="E573" s="573"/>
      <c r="F573" s="573"/>
      <c r="G573" s="574"/>
      <c r="H573" s="574"/>
      <c r="I573" s="574"/>
    </row>
    <row r="574" spans="1:9">
      <c r="A574" s="572"/>
      <c r="B574" s="573"/>
      <c r="C574" s="573"/>
      <c r="D574" s="573"/>
      <c r="E574" s="573"/>
      <c r="F574" s="573"/>
      <c r="G574" s="574"/>
      <c r="H574" s="574"/>
      <c r="I574" s="574"/>
    </row>
    <row r="575" spans="1:9">
      <c r="A575" s="572"/>
      <c r="B575" s="573"/>
      <c r="C575" s="573"/>
      <c r="D575" s="573"/>
      <c r="E575" s="573"/>
      <c r="F575" s="573"/>
      <c r="G575" s="574"/>
      <c r="H575" s="574"/>
      <c r="I575" s="574"/>
    </row>
    <row r="576" spans="1:9">
      <c r="A576" s="572"/>
      <c r="B576" s="573"/>
      <c r="C576" s="573"/>
      <c r="D576" s="573"/>
      <c r="E576" s="573"/>
      <c r="F576" s="573"/>
      <c r="G576" s="574"/>
      <c r="H576" s="574"/>
      <c r="I576" s="574"/>
    </row>
    <row r="577" spans="1:9">
      <c r="A577" s="575"/>
      <c r="B577" s="576"/>
      <c r="C577" s="573"/>
      <c r="D577" s="573"/>
      <c r="E577" s="573"/>
      <c r="F577" s="573"/>
      <c r="G577" s="574"/>
      <c r="H577" s="574"/>
      <c r="I577" s="574"/>
    </row>
    <row r="578" spans="1:9">
      <c r="A578" s="573"/>
      <c r="B578" s="573"/>
      <c r="C578" s="573"/>
      <c r="D578" s="573"/>
      <c r="E578" s="573"/>
      <c r="F578" s="573"/>
      <c r="G578" s="574"/>
      <c r="H578" s="574"/>
      <c r="I578" s="574"/>
    </row>
    <row r="579" spans="1:9">
      <c r="A579" s="573"/>
      <c r="B579" s="573"/>
      <c r="C579" s="573"/>
      <c r="D579" s="573"/>
      <c r="E579" s="573"/>
      <c r="F579" s="573"/>
      <c r="G579" s="574"/>
      <c r="H579" s="574"/>
      <c r="I579" s="574"/>
    </row>
    <row r="580" spans="1:9">
      <c r="A580" s="573"/>
      <c r="B580" s="573"/>
      <c r="C580" s="573"/>
      <c r="D580" s="573"/>
      <c r="E580" s="573"/>
      <c r="F580" s="573"/>
      <c r="G580" s="574"/>
      <c r="H580" s="574"/>
      <c r="I580" s="574"/>
    </row>
    <row r="581" spans="1:9">
      <c r="A581" s="573"/>
      <c r="B581" s="573"/>
      <c r="C581" s="573"/>
      <c r="D581" s="573"/>
      <c r="E581" s="573"/>
      <c r="F581" s="573"/>
      <c r="G581" s="574"/>
      <c r="H581" s="574"/>
      <c r="I581" s="574"/>
    </row>
    <row r="582" spans="1:9">
      <c r="A582" s="577"/>
      <c r="B582" s="577"/>
      <c r="C582" s="577"/>
      <c r="D582" s="577"/>
      <c r="E582" s="573"/>
      <c r="F582" s="573"/>
      <c r="G582" s="574"/>
      <c r="H582" s="574"/>
      <c r="I582" s="574"/>
    </row>
    <row r="583" spans="1:9">
      <c r="A583" s="578"/>
      <c r="B583" s="574"/>
      <c r="C583" s="573"/>
      <c r="D583" s="573"/>
      <c r="E583" s="573"/>
      <c r="F583" s="573"/>
      <c r="G583" s="574"/>
      <c r="H583" s="574"/>
      <c r="I583" s="574"/>
    </row>
    <row r="584" spans="1:9">
      <c r="A584" s="578"/>
      <c r="B584" s="574"/>
      <c r="C584" s="573"/>
      <c r="D584" s="573"/>
      <c r="E584" s="573"/>
      <c r="F584" s="573"/>
      <c r="G584" s="574"/>
      <c r="H584" s="574"/>
      <c r="I584" s="574"/>
    </row>
    <row r="585" spans="1:9">
      <c r="A585" s="575"/>
      <c r="B585" s="576"/>
      <c r="C585" s="573"/>
      <c r="D585" s="573"/>
      <c r="E585" s="573"/>
      <c r="F585" s="573"/>
      <c r="G585" s="574"/>
      <c r="H585" s="574"/>
      <c r="I585" s="574"/>
    </row>
    <row r="586" spans="1:9">
      <c r="A586" s="573"/>
      <c r="B586" s="573"/>
      <c r="C586" s="573"/>
      <c r="D586" s="573"/>
      <c r="E586" s="573"/>
      <c r="F586" s="573"/>
      <c r="G586" s="574"/>
      <c r="H586" s="574"/>
      <c r="I586" s="574"/>
    </row>
    <row r="587" spans="1:9">
      <c r="A587" s="573"/>
      <c r="B587" s="573"/>
      <c r="C587" s="573"/>
      <c r="D587" s="573"/>
      <c r="E587" s="573"/>
      <c r="F587" s="573"/>
      <c r="G587" s="574"/>
      <c r="H587" s="574"/>
      <c r="I587" s="574"/>
    </row>
    <row r="588" spans="1:9">
      <c r="A588" s="573"/>
      <c r="B588" s="573"/>
      <c r="C588" s="573"/>
      <c r="D588" s="573"/>
      <c r="E588" s="573"/>
      <c r="F588" s="573"/>
      <c r="G588" s="574"/>
      <c r="H588" s="574"/>
      <c r="I588" s="574"/>
    </row>
    <row r="589" spans="1:9">
      <c r="A589" s="573"/>
      <c r="B589" s="573"/>
      <c r="C589" s="573"/>
      <c r="D589" s="573"/>
      <c r="E589" s="573"/>
      <c r="F589" s="573"/>
      <c r="G589" s="574"/>
      <c r="H589" s="574"/>
      <c r="I589" s="574"/>
    </row>
    <row r="590" spans="1:9">
      <c r="A590" s="577"/>
      <c r="B590" s="577"/>
      <c r="C590" s="577"/>
      <c r="D590" s="577"/>
      <c r="E590" s="573"/>
      <c r="F590" s="573"/>
      <c r="G590" s="574"/>
      <c r="H590" s="574"/>
      <c r="I590" s="574"/>
    </row>
    <row r="591" spans="1:9">
      <c r="A591" s="578"/>
      <c r="B591" s="578"/>
      <c r="C591" s="578"/>
      <c r="D591" s="578"/>
      <c r="E591" s="573"/>
      <c r="F591" s="573"/>
      <c r="G591" s="574"/>
      <c r="H591" s="574"/>
      <c r="I591" s="574"/>
    </row>
    <row r="592" spans="1:9">
      <c r="A592" s="578"/>
      <c r="B592" s="578"/>
      <c r="C592" s="578"/>
      <c r="D592" s="578"/>
      <c r="E592" s="573"/>
      <c r="F592" s="573"/>
      <c r="G592" s="574"/>
      <c r="H592" s="574"/>
      <c r="I592" s="574"/>
    </row>
    <row r="593" spans="1:9">
      <c r="A593" s="578"/>
      <c r="B593" s="578"/>
      <c r="C593" s="578"/>
      <c r="D593" s="575"/>
      <c r="E593" s="576"/>
      <c r="F593" s="573"/>
      <c r="G593" s="574"/>
      <c r="H593" s="574"/>
      <c r="I593" s="574"/>
    </row>
    <row r="594" spans="1:9">
      <c r="A594" s="573"/>
      <c r="B594" s="573"/>
      <c r="C594" s="573"/>
      <c r="D594" s="573"/>
      <c r="E594" s="573"/>
      <c r="F594" s="573"/>
      <c r="G594" s="574"/>
      <c r="H594" s="574"/>
      <c r="I594" s="574"/>
    </row>
    <row r="595" spans="1:9">
      <c r="A595" s="573"/>
      <c r="B595" s="573"/>
      <c r="C595" s="573"/>
      <c r="D595" s="573"/>
      <c r="E595" s="573"/>
      <c r="F595" s="573"/>
      <c r="G595" s="574"/>
      <c r="H595" s="574"/>
      <c r="I595" s="574"/>
    </row>
    <row r="596" spans="1:9">
      <c r="A596" s="573"/>
      <c r="B596" s="573"/>
      <c r="C596" s="573"/>
      <c r="D596" s="573"/>
      <c r="E596" s="573"/>
      <c r="F596" s="573"/>
      <c r="G596" s="574"/>
      <c r="H596" s="574"/>
      <c r="I596" s="574"/>
    </row>
    <row r="597" spans="1:9">
      <c r="A597" s="573"/>
      <c r="B597" s="573"/>
      <c r="C597" s="573"/>
      <c r="D597" s="573"/>
      <c r="E597" s="573"/>
      <c r="F597" s="573"/>
      <c r="G597" s="574"/>
      <c r="H597" s="574"/>
      <c r="I597" s="574"/>
    </row>
    <row r="598" spans="1:9">
      <c r="A598" s="577"/>
      <c r="B598" s="573"/>
      <c r="C598" s="573"/>
      <c r="D598" s="573"/>
      <c r="E598" s="573"/>
      <c r="F598" s="573"/>
      <c r="G598" s="574"/>
      <c r="H598" s="574"/>
      <c r="I598" s="574"/>
    </row>
    <row r="599" spans="1:9">
      <c r="A599" s="578"/>
      <c r="B599" s="573"/>
      <c r="C599" s="573"/>
      <c r="D599" s="573"/>
      <c r="E599" s="573"/>
      <c r="F599" s="573"/>
      <c r="G599" s="574"/>
      <c r="H599" s="574"/>
      <c r="I599" s="574"/>
    </row>
    <row r="600" spans="1:9">
      <c r="A600" s="575"/>
      <c r="B600" s="576"/>
      <c r="C600" s="573"/>
      <c r="D600" s="573"/>
      <c r="E600" s="573"/>
      <c r="F600" s="573"/>
      <c r="G600" s="574"/>
      <c r="H600" s="574"/>
      <c r="I600" s="574"/>
    </row>
    <row r="601" spans="1:9">
      <c r="A601" s="573"/>
      <c r="B601" s="573"/>
      <c r="C601" s="573"/>
      <c r="D601" s="573"/>
      <c r="E601" s="573"/>
      <c r="F601" s="573"/>
      <c r="G601" s="574"/>
      <c r="H601" s="574"/>
      <c r="I601" s="574"/>
    </row>
    <row r="602" spans="1:9">
      <c r="A602" s="573"/>
      <c r="B602" s="573"/>
      <c r="C602" s="573"/>
      <c r="D602" s="573"/>
      <c r="E602" s="573"/>
      <c r="F602" s="573"/>
      <c r="G602" s="574"/>
      <c r="H602" s="574"/>
      <c r="I602" s="574"/>
    </row>
    <row r="603" spans="1:9">
      <c r="A603" s="573"/>
      <c r="B603" s="573"/>
      <c r="C603" s="573"/>
      <c r="D603" s="573"/>
      <c r="E603" s="573"/>
      <c r="F603" s="573"/>
      <c r="G603" s="574"/>
      <c r="H603" s="574"/>
      <c r="I603" s="574"/>
    </row>
    <row r="604" spans="1:9">
      <c r="A604" s="573"/>
      <c r="B604" s="573"/>
      <c r="C604" s="573"/>
      <c r="D604" s="573"/>
      <c r="E604" s="573"/>
      <c r="F604" s="573"/>
      <c r="G604" s="574"/>
      <c r="H604" s="574"/>
      <c r="I604" s="574"/>
    </row>
    <row r="605" spans="1:9">
      <c r="A605" s="577"/>
      <c r="B605" s="577"/>
      <c r="C605" s="577"/>
      <c r="D605" s="577"/>
      <c r="E605" s="573"/>
      <c r="F605" s="573"/>
      <c r="G605" s="574"/>
      <c r="H605" s="574"/>
      <c r="I605" s="574"/>
    </row>
    <row r="606" spans="1:9">
      <c r="A606" s="578"/>
      <c r="B606" s="578"/>
      <c r="C606" s="578"/>
      <c r="D606" s="578"/>
      <c r="E606" s="573"/>
      <c r="F606" s="573"/>
      <c r="G606" s="574"/>
      <c r="H606" s="574"/>
      <c r="I606" s="574"/>
    </row>
    <row r="607" spans="1:9">
      <c r="A607" s="578"/>
      <c r="B607" s="578"/>
      <c r="C607" s="578"/>
      <c r="D607" s="578"/>
      <c r="E607" s="573"/>
      <c r="F607" s="573"/>
      <c r="G607" s="574"/>
      <c r="H607" s="574"/>
      <c r="I607" s="574"/>
    </row>
    <row r="608" spans="1:9">
      <c r="A608" s="578"/>
      <c r="B608" s="578"/>
      <c r="C608" s="578"/>
      <c r="D608" s="578"/>
      <c r="E608" s="573"/>
      <c r="F608" s="573"/>
      <c r="G608" s="574"/>
      <c r="H608" s="574"/>
      <c r="I608" s="574"/>
    </row>
    <row r="609" spans="1:9">
      <c r="A609" s="573"/>
      <c r="B609" s="573"/>
      <c r="C609" s="573"/>
      <c r="D609" s="575"/>
      <c r="E609" s="576"/>
      <c r="F609" s="573"/>
      <c r="G609" s="574"/>
      <c r="H609" s="574"/>
      <c r="I609" s="574"/>
    </row>
    <row r="610" spans="1:9">
      <c r="A610" s="573"/>
      <c r="B610" s="573"/>
      <c r="C610" s="573"/>
      <c r="D610" s="573"/>
      <c r="E610" s="573"/>
      <c r="F610" s="573"/>
      <c r="G610" s="574"/>
      <c r="H610" s="574"/>
      <c r="I610" s="574"/>
    </row>
    <row r="611" spans="1:9">
      <c r="A611" s="573"/>
      <c r="B611" s="573"/>
      <c r="C611" s="573"/>
      <c r="D611" s="573"/>
      <c r="E611" s="573"/>
      <c r="F611" s="573"/>
      <c r="G611" s="574"/>
      <c r="H611" s="574"/>
      <c r="I611" s="574"/>
    </row>
    <row r="612" spans="1:9">
      <c r="A612" s="573"/>
      <c r="B612" s="573"/>
      <c r="C612" s="573"/>
      <c r="D612" s="573"/>
      <c r="E612" s="573"/>
      <c r="F612" s="573"/>
      <c r="G612" s="574"/>
      <c r="H612" s="574"/>
      <c r="I612" s="574"/>
    </row>
    <row r="613" spans="1:9">
      <c r="A613" s="573"/>
      <c r="B613" s="573"/>
      <c r="C613" s="573"/>
      <c r="D613" s="573"/>
      <c r="E613" s="573"/>
      <c r="F613" s="573"/>
      <c r="G613" s="574"/>
      <c r="H613" s="574"/>
      <c r="I613" s="574"/>
    </row>
    <row r="614" spans="1:9">
      <c r="A614" s="577"/>
      <c r="B614" s="573"/>
      <c r="C614" s="573"/>
      <c r="D614" s="573"/>
      <c r="E614" s="573"/>
      <c r="F614" s="573"/>
      <c r="G614" s="574"/>
      <c r="H614" s="574"/>
      <c r="I614" s="574"/>
    </row>
    <row r="615" spans="1:9">
      <c r="A615" s="578"/>
      <c r="B615" s="573"/>
      <c r="C615" s="573"/>
      <c r="D615" s="573"/>
      <c r="E615" s="573"/>
      <c r="F615" s="573"/>
      <c r="G615" s="574"/>
      <c r="H615" s="574"/>
      <c r="I615" s="574"/>
    </row>
    <row r="616" spans="1:9">
      <c r="A616" s="575"/>
      <c r="B616" s="576"/>
      <c r="C616" s="573"/>
      <c r="D616" s="573"/>
      <c r="E616" s="573"/>
      <c r="F616" s="573"/>
      <c r="G616" s="574"/>
      <c r="H616" s="574"/>
      <c r="I616" s="574"/>
    </row>
    <row r="617" spans="1:9">
      <c r="A617" s="573"/>
      <c r="B617" s="573"/>
      <c r="C617" s="573"/>
      <c r="D617" s="573"/>
      <c r="E617" s="573"/>
      <c r="F617" s="573"/>
      <c r="G617" s="574"/>
      <c r="H617" s="574"/>
      <c r="I617" s="574"/>
    </row>
    <row r="618" spans="1:9">
      <c r="A618" s="573"/>
      <c r="B618" s="573"/>
      <c r="C618" s="573"/>
      <c r="D618" s="573"/>
      <c r="E618" s="573"/>
      <c r="F618" s="573"/>
      <c r="G618" s="574"/>
      <c r="H618" s="574"/>
      <c r="I618" s="574"/>
    </row>
    <row r="619" spans="1:9">
      <c r="A619" s="573"/>
      <c r="B619" s="573"/>
      <c r="C619" s="573"/>
      <c r="D619" s="573"/>
      <c r="E619" s="573"/>
      <c r="F619" s="573"/>
      <c r="G619" s="574"/>
      <c r="H619" s="574"/>
      <c r="I619" s="574"/>
    </row>
    <row r="620" spans="1:9">
      <c r="A620" s="573"/>
      <c r="B620" s="573"/>
      <c r="C620" s="573"/>
      <c r="D620" s="573"/>
      <c r="E620" s="573"/>
      <c r="F620" s="573"/>
      <c r="G620" s="574"/>
      <c r="H620" s="574"/>
      <c r="I620" s="574"/>
    </row>
    <row r="621" spans="1:9">
      <c r="A621" s="577"/>
      <c r="B621" s="573"/>
      <c r="C621" s="573"/>
      <c r="D621" s="573"/>
      <c r="E621" s="573"/>
      <c r="F621" s="573"/>
      <c r="G621" s="574"/>
      <c r="H621" s="574"/>
      <c r="I621" s="574"/>
    </row>
    <row r="622" spans="1:9">
      <c r="A622" s="578"/>
      <c r="B622" s="573"/>
      <c r="C622" s="573"/>
      <c r="D622" s="573"/>
      <c r="E622" s="573"/>
      <c r="F622" s="573"/>
      <c r="G622" s="574"/>
      <c r="H622" s="574"/>
      <c r="I622" s="574"/>
    </row>
    <row r="623" spans="1:9">
      <c r="A623" s="578"/>
      <c r="B623" s="573"/>
      <c r="C623" s="573"/>
      <c r="D623" s="573"/>
      <c r="E623" s="573"/>
      <c r="F623" s="573"/>
      <c r="G623" s="574"/>
      <c r="H623" s="574"/>
      <c r="I623" s="574"/>
    </row>
    <row r="624" spans="1:9">
      <c r="A624" s="572"/>
      <c r="B624" s="573"/>
      <c r="C624" s="573"/>
      <c r="D624" s="573"/>
      <c r="E624" s="573"/>
      <c r="F624" s="573"/>
      <c r="G624" s="574"/>
      <c r="H624" s="574"/>
      <c r="I624" s="574"/>
    </row>
    <row r="625" spans="1:9">
      <c r="A625" s="572"/>
      <c r="B625" s="573"/>
      <c r="C625" s="573"/>
      <c r="D625" s="573"/>
      <c r="E625" s="573"/>
      <c r="F625" s="573"/>
      <c r="G625" s="574"/>
      <c r="H625" s="574"/>
      <c r="I625" s="574"/>
    </row>
    <row r="626" spans="1:9">
      <c r="A626" s="575"/>
      <c r="B626" s="576"/>
      <c r="C626" s="573"/>
      <c r="D626" s="573"/>
      <c r="E626" s="573"/>
      <c r="F626" s="573"/>
      <c r="G626" s="574"/>
      <c r="H626" s="574"/>
      <c r="I626" s="574"/>
    </row>
    <row r="627" spans="1:9">
      <c r="A627" s="573"/>
      <c r="B627" s="573"/>
      <c r="C627" s="573"/>
      <c r="D627" s="573"/>
      <c r="E627" s="573"/>
      <c r="F627" s="573"/>
      <c r="G627" s="574"/>
      <c r="H627" s="574"/>
      <c r="I627" s="574"/>
    </row>
    <row r="628" spans="1:9">
      <c r="A628" s="573"/>
      <c r="B628" s="573"/>
      <c r="C628" s="573"/>
      <c r="D628" s="573"/>
      <c r="E628" s="573"/>
      <c r="F628" s="573"/>
      <c r="G628" s="574"/>
      <c r="H628" s="574"/>
      <c r="I628" s="574"/>
    </row>
    <row r="629" spans="1:9">
      <c r="A629" s="573"/>
      <c r="B629" s="573"/>
      <c r="C629" s="573"/>
      <c r="D629" s="573"/>
      <c r="E629" s="573"/>
      <c r="F629" s="573"/>
      <c r="G629" s="574"/>
      <c r="H629" s="574"/>
      <c r="I629" s="574"/>
    </row>
    <row r="630" spans="1:9">
      <c r="A630" s="573"/>
      <c r="B630" s="573"/>
      <c r="C630" s="573"/>
      <c r="D630" s="573"/>
      <c r="E630" s="573"/>
      <c r="F630" s="573"/>
      <c r="G630" s="574"/>
      <c r="H630" s="574"/>
      <c r="I630" s="574"/>
    </row>
    <row r="631" spans="1:9">
      <c r="A631" s="577"/>
      <c r="B631" s="573"/>
      <c r="C631" s="573"/>
      <c r="D631" s="573"/>
      <c r="E631" s="573"/>
      <c r="F631" s="573"/>
      <c r="G631" s="574"/>
      <c r="H631" s="574"/>
      <c r="I631" s="574"/>
    </row>
    <row r="632" spans="1:9">
      <c r="A632" s="578"/>
      <c r="B632" s="573"/>
      <c r="C632" s="573"/>
      <c r="D632" s="573"/>
      <c r="E632" s="573"/>
      <c r="F632" s="573"/>
      <c r="G632" s="574"/>
      <c r="H632" s="574"/>
      <c r="I632" s="574"/>
    </row>
    <row r="633" spans="1:9">
      <c r="A633" s="575"/>
      <c r="B633" s="576"/>
      <c r="C633" s="573"/>
      <c r="D633" s="573"/>
      <c r="E633" s="573"/>
      <c r="F633" s="573"/>
      <c r="G633" s="574"/>
      <c r="H633" s="574"/>
      <c r="I633" s="574"/>
    </row>
    <row r="634" spans="1:9">
      <c r="A634" s="573"/>
      <c r="B634" s="573"/>
      <c r="C634" s="573"/>
      <c r="D634" s="573"/>
      <c r="E634" s="573"/>
      <c r="F634" s="573"/>
      <c r="G634" s="574"/>
      <c r="H634" s="574"/>
      <c r="I634" s="574"/>
    </row>
    <row r="635" spans="1:9">
      <c r="A635" s="573"/>
      <c r="B635" s="573"/>
      <c r="C635" s="573"/>
      <c r="D635" s="573"/>
      <c r="E635" s="573"/>
      <c r="F635" s="573"/>
      <c r="G635" s="574"/>
      <c r="H635" s="574"/>
      <c r="I635" s="574"/>
    </row>
    <row r="636" spans="1:9">
      <c r="A636" s="573"/>
      <c r="B636" s="573"/>
      <c r="C636" s="573"/>
      <c r="D636" s="573"/>
      <c r="E636" s="573"/>
      <c r="F636" s="573"/>
      <c r="G636" s="574"/>
      <c r="H636" s="574"/>
      <c r="I636" s="574"/>
    </row>
    <row r="637" spans="1:9">
      <c r="A637" s="573"/>
      <c r="B637" s="573"/>
      <c r="C637" s="573"/>
      <c r="D637" s="573"/>
      <c r="E637" s="573"/>
      <c r="F637" s="573"/>
      <c r="G637" s="574"/>
      <c r="H637" s="574"/>
      <c r="I637" s="574"/>
    </row>
    <row r="638" spans="1:9">
      <c r="A638" s="577"/>
      <c r="B638" s="573"/>
      <c r="C638" s="573"/>
      <c r="D638" s="573"/>
      <c r="E638" s="573"/>
      <c r="F638" s="573"/>
      <c r="G638" s="574"/>
      <c r="H638" s="574"/>
      <c r="I638" s="574"/>
    </row>
    <row r="639" spans="1:9">
      <c r="A639" s="578"/>
      <c r="B639" s="573"/>
      <c r="C639" s="573"/>
      <c r="D639" s="573"/>
      <c r="E639" s="573"/>
      <c r="F639" s="573"/>
      <c r="G639" s="574"/>
      <c r="H639" s="574"/>
      <c r="I639" s="574"/>
    </row>
    <row r="640" spans="1:9">
      <c r="A640" s="578"/>
      <c r="B640" s="573"/>
      <c r="C640" s="573"/>
      <c r="D640" s="573"/>
      <c r="E640" s="573"/>
      <c r="F640" s="573"/>
      <c r="G640" s="574"/>
      <c r="H640" s="574"/>
      <c r="I640" s="574"/>
    </row>
    <row r="641" spans="1:9">
      <c r="A641" s="578"/>
      <c r="B641" s="573"/>
      <c r="C641" s="573"/>
      <c r="D641" s="573"/>
      <c r="E641" s="573"/>
      <c r="F641" s="573"/>
      <c r="G641" s="574"/>
      <c r="H641" s="574"/>
      <c r="I641" s="574"/>
    </row>
    <row r="642" spans="1:9">
      <c r="A642" s="578"/>
      <c r="B642" s="573"/>
      <c r="C642" s="562"/>
      <c r="D642" s="573"/>
      <c r="E642" s="573"/>
      <c r="F642" s="573"/>
      <c r="G642" s="574"/>
      <c r="H642" s="574"/>
      <c r="I642" s="574"/>
    </row>
    <row r="643" spans="1:9">
      <c r="A643" s="578"/>
      <c r="B643" s="573"/>
      <c r="C643" s="573"/>
      <c r="D643" s="573"/>
      <c r="E643" s="573"/>
      <c r="F643" s="573"/>
      <c r="G643" s="574"/>
      <c r="H643" s="574"/>
      <c r="I643" s="574"/>
    </row>
    <row r="644" spans="1:9">
      <c r="A644" s="575"/>
      <c r="B644" s="576"/>
      <c r="C644" s="573"/>
      <c r="D644" s="573"/>
      <c r="E644" s="573"/>
      <c r="F644" s="573"/>
      <c r="G644" s="574"/>
      <c r="H644" s="574"/>
      <c r="I644" s="574"/>
    </row>
    <row r="645" spans="1:9">
      <c r="A645" s="573"/>
      <c r="B645" s="573"/>
      <c r="C645" s="573"/>
      <c r="D645" s="573"/>
      <c r="E645" s="573"/>
      <c r="F645" s="573"/>
      <c r="G645" s="574"/>
      <c r="H645" s="574"/>
      <c r="I645" s="574"/>
    </row>
    <row r="646" spans="1:9">
      <c r="A646" s="573"/>
      <c r="B646" s="573"/>
      <c r="C646" s="573"/>
      <c r="D646" s="573"/>
      <c r="E646" s="573"/>
      <c r="F646" s="573"/>
      <c r="G646" s="574"/>
      <c r="H646" s="574"/>
      <c r="I646" s="574"/>
    </row>
    <row r="647" spans="1:9">
      <c r="A647" s="573"/>
      <c r="B647" s="573"/>
      <c r="C647" s="573"/>
      <c r="D647" s="573"/>
      <c r="E647" s="573"/>
      <c r="F647" s="573"/>
      <c r="G647" s="574"/>
      <c r="H647" s="574"/>
      <c r="I647" s="574"/>
    </row>
    <row r="648" spans="1:9">
      <c r="A648" s="573"/>
      <c r="B648" s="573"/>
      <c r="C648" s="573"/>
      <c r="D648" s="573"/>
      <c r="E648" s="573"/>
      <c r="F648" s="573"/>
      <c r="G648" s="574"/>
      <c r="H648" s="574"/>
      <c r="I648" s="574"/>
    </row>
    <row r="649" spans="1:9">
      <c r="A649" s="584"/>
      <c r="B649" s="584"/>
      <c r="C649" s="584"/>
      <c r="D649" s="575"/>
      <c r="E649" s="576"/>
      <c r="F649" s="573"/>
      <c r="G649" s="574"/>
      <c r="H649" s="574"/>
      <c r="I649" s="574"/>
    </row>
    <row r="650" spans="1:9">
      <c r="A650" s="573"/>
      <c r="B650" s="573"/>
      <c r="C650" s="573"/>
      <c r="D650" s="573"/>
      <c r="E650" s="573"/>
      <c r="F650" s="573"/>
      <c r="G650" s="574"/>
      <c r="H650" s="574"/>
      <c r="I650" s="574"/>
    </row>
    <row r="651" spans="1:9">
      <c r="A651" s="573"/>
      <c r="B651" s="573"/>
      <c r="C651" s="573"/>
      <c r="D651" s="573"/>
      <c r="E651" s="573"/>
      <c r="F651" s="573"/>
      <c r="G651" s="574"/>
      <c r="H651" s="574"/>
      <c r="I651" s="574"/>
    </row>
    <row r="652" spans="1:9">
      <c r="A652" s="573"/>
      <c r="B652" s="573"/>
      <c r="C652" s="573"/>
      <c r="D652" s="573"/>
      <c r="E652" s="573"/>
      <c r="F652" s="573"/>
      <c r="G652" s="574"/>
      <c r="H652" s="574"/>
      <c r="I652" s="574"/>
    </row>
    <row r="653" spans="1:9">
      <c r="A653" s="573"/>
      <c r="B653" s="573"/>
      <c r="C653" s="573"/>
      <c r="D653" s="573"/>
      <c r="E653" s="573"/>
      <c r="F653" s="573"/>
      <c r="G653" s="574"/>
      <c r="H653" s="574"/>
      <c r="I653" s="574"/>
    </row>
    <row r="654" spans="1:9">
      <c r="A654" s="584"/>
      <c r="B654" s="584"/>
      <c r="C654" s="584"/>
      <c r="D654" s="584"/>
      <c r="E654" s="575"/>
      <c r="F654" s="576"/>
      <c r="G654" s="574"/>
      <c r="H654" s="574"/>
      <c r="I654" s="574"/>
    </row>
    <row r="655" spans="1:9">
      <c r="A655" s="573"/>
      <c r="B655" s="573"/>
      <c r="C655" s="573"/>
      <c r="D655" s="573"/>
      <c r="E655" s="573"/>
      <c r="F655" s="573"/>
      <c r="G655" s="574"/>
      <c r="H655" s="574"/>
      <c r="I655" s="574"/>
    </row>
    <row r="656" spans="1:9">
      <c r="A656" s="573"/>
      <c r="B656" s="573"/>
      <c r="C656" s="573"/>
      <c r="D656" s="573"/>
      <c r="E656" s="573"/>
      <c r="F656" s="573"/>
      <c r="G656" s="574"/>
      <c r="H656" s="574"/>
      <c r="I656" s="574"/>
    </row>
    <row r="657" spans="1:9">
      <c r="A657" s="573"/>
      <c r="B657" s="573"/>
      <c r="C657" s="573"/>
      <c r="D657" s="573"/>
      <c r="E657" s="573"/>
      <c r="F657" s="573"/>
      <c r="G657" s="574"/>
      <c r="H657" s="574"/>
      <c r="I657" s="574"/>
    </row>
    <row r="658" spans="1:9">
      <c r="A658" s="573"/>
      <c r="B658" s="573"/>
      <c r="C658" s="573"/>
      <c r="D658" s="573"/>
      <c r="E658" s="573"/>
      <c r="F658" s="573"/>
      <c r="G658" s="574"/>
      <c r="H658" s="574"/>
      <c r="I658" s="574"/>
    </row>
    <row r="659" spans="1:9">
      <c r="A659" s="577"/>
      <c r="B659" s="573"/>
      <c r="C659" s="573"/>
      <c r="D659" s="573"/>
      <c r="E659" s="573"/>
      <c r="F659" s="573"/>
      <c r="G659" s="574"/>
      <c r="H659" s="574"/>
      <c r="I659" s="574"/>
    </row>
    <row r="660" spans="1:9">
      <c r="A660" s="578"/>
      <c r="B660" s="573"/>
      <c r="C660" s="573"/>
      <c r="D660" s="573"/>
      <c r="E660" s="573"/>
      <c r="F660" s="573"/>
      <c r="G660" s="574"/>
      <c r="H660" s="574"/>
      <c r="I660" s="574"/>
    </row>
    <row r="661" spans="1:9">
      <c r="A661" s="578"/>
      <c r="B661" s="573"/>
      <c r="C661" s="573"/>
      <c r="D661" s="573"/>
      <c r="E661" s="573"/>
      <c r="F661" s="573"/>
      <c r="G661" s="574"/>
      <c r="H661" s="574"/>
      <c r="I661" s="574"/>
    </row>
    <row r="662" spans="1:9">
      <c r="A662" s="575"/>
      <c r="B662" s="576"/>
      <c r="C662" s="573"/>
      <c r="D662" s="573"/>
      <c r="E662" s="573"/>
      <c r="F662" s="573"/>
      <c r="G662" s="574"/>
      <c r="H662" s="574"/>
      <c r="I662" s="574"/>
    </row>
    <row r="663" spans="1:9">
      <c r="A663" s="578"/>
      <c r="B663" s="573"/>
      <c r="C663" s="573"/>
      <c r="D663" s="573"/>
      <c r="E663" s="573"/>
      <c r="F663" s="573"/>
      <c r="G663" s="574"/>
      <c r="H663" s="574"/>
      <c r="I663" s="574"/>
    </row>
    <row r="664" spans="1:9">
      <c r="A664" s="578"/>
      <c r="B664" s="573"/>
      <c r="C664" s="573"/>
      <c r="D664" s="573"/>
      <c r="E664" s="573"/>
      <c r="F664" s="573"/>
      <c r="G664" s="574"/>
      <c r="H664" s="574"/>
      <c r="I664" s="574"/>
    </row>
    <row r="665" spans="1:9">
      <c r="A665" s="573"/>
      <c r="B665" s="573"/>
      <c r="C665" s="573"/>
      <c r="D665" s="573"/>
      <c r="E665" s="573"/>
      <c r="F665" s="573"/>
      <c r="G665" s="574"/>
      <c r="H665" s="574"/>
      <c r="I665" s="574"/>
    </row>
    <row r="666" spans="1:9">
      <c r="A666" s="573"/>
      <c r="B666" s="573"/>
      <c r="C666" s="573"/>
      <c r="D666" s="573"/>
      <c r="E666" s="573"/>
      <c r="F666" s="573"/>
      <c r="G666" s="574"/>
      <c r="H666" s="574"/>
      <c r="I666" s="574"/>
    </row>
    <row r="667" spans="1:9">
      <c r="A667" s="584"/>
      <c r="B667" s="584"/>
      <c r="C667" s="575"/>
      <c r="D667" s="576"/>
      <c r="E667" s="573"/>
      <c r="F667" s="573"/>
      <c r="G667" s="574"/>
      <c r="H667" s="574"/>
      <c r="I667" s="574"/>
    </row>
    <row r="668" spans="1:9">
      <c r="A668" s="573"/>
      <c r="B668" s="573"/>
      <c r="C668" s="573"/>
      <c r="D668" s="573"/>
      <c r="E668" s="573"/>
      <c r="F668" s="573"/>
      <c r="G668" s="574"/>
      <c r="H668" s="574"/>
      <c r="I668" s="574"/>
    </row>
    <row r="669" spans="1:9">
      <c r="A669" s="573"/>
      <c r="B669" s="573"/>
      <c r="C669" s="573"/>
      <c r="D669" s="573"/>
      <c r="E669" s="573"/>
      <c r="F669" s="573"/>
      <c r="G669" s="574"/>
      <c r="H669" s="574"/>
      <c r="I669" s="574"/>
    </row>
    <row r="670" spans="1:9">
      <c r="A670" s="573"/>
      <c r="B670" s="573"/>
      <c r="C670" s="573"/>
      <c r="D670" s="573"/>
      <c r="E670" s="573"/>
      <c r="F670" s="573"/>
      <c r="G670" s="574"/>
      <c r="H670" s="574"/>
      <c r="I670" s="574"/>
    </row>
    <row r="671" spans="1:9">
      <c r="A671" s="573"/>
      <c r="B671" s="573"/>
      <c r="C671" s="573"/>
      <c r="D671" s="573"/>
      <c r="E671" s="573"/>
      <c r="F671" s="573"/>
      <c r="G671" s="574"/>
      <c r="H671" s="574"/>
      <c r="I671" s="574"/>
    </row>
    <row r="672" spans="1:9">
      <c r="A672" s="577"/>
      <c r="B672" s="573"/>
      <c r="C672" s="573"/>
      <c r="D672" s="573"/>
      <c r="E672" s="573"/>
      <c r="F672" s="573"/>
      <c r="G672" s="574"/>
      <c r="H672" s="574"/>
      <c r="I672" s="574"/>
    </row>
    <row r="673" spans="1:9">
      <c r="A673" s="578"/>
      <c r="B673" s="573"/>
      <c r="C673" s="573"/>
      <c r="D673" s="573"/>
      <c r="E673" s="573"/>
      <c r="F673" s="573"/>
      <c r="G673" s="574"/>
      <c r="H673" s="574"/>
      <c r="I673" s="574"/>
    </row>
    <row r="674" spans="1:9">
      <c r="A674" s="578"/>
      <c r="B674" s="573"/>
      <c r="C674" s="573"/>
      <c r="D674" s="573"/>
      <c r="E674" s="573"/>
      <c r="F674" s="573"/>
      <c r="G674" s="574"/>
      <c r="H674" s="574"/>
      <c r="I674" s="574"/>
    </row>
    <row r="675" spans="1:9">
      <c r="A675" s="578"/>
      <c r="B675" s="573"/>
      <c r="C675" s="573"/>
      <c r="D675" s="573"/>
      <c r="E675" s="573"/>
      <c r="F675" s="573"/>
      <c r="G675" s="574"/>
      <c r="H675" s="574"/>
      <c r="I675" s="574"/>
    </row>
    <row r="676" spans="1:9">
      <c r="A676" s="578"/>
      <c r="B676" s="573"/>
      <c r="C676" s="573"/>
      <c r="D676" s="573"/>
      <c r="E676" s="573"/>
      <c r="F676" s="573"/>
      <c r="G676" s="574"/>
      <c r="H676" s="574"/>
      <c r="I676" s="574"/>
    </row>
    <row r="677" spans="1:9">
      <c r="A677" s="575"/>
      <c r="B677" s="576"/>
      <c r="C677" s="573"/>
      <c r="D677" s="573"/>
      <c r="E677" s="573"/>
      <c r="F677" s="573"/>
      <c r="G677" s="574"/>
      <c r="H677" s="574"/>
      <c r="I677" s="574"/>
    </row>
    <row r="678" spans="1:9">
      <c r="A678" s="575"/>
      <c r="B678" s="576"/>
      <c r="C678" s="573"/>
      <c r="D678" s="573"/>
      <c r="E678" s="573"/>
      <c r="F678" s="573"/>
      <c r="G678" s="574"/>
      <c r="H678" s="574"/>
      <c r="I678" s="574"/>
    </row>
    <row r="679" spans="1:9">
      <c r="A679" s="575"/>
      <c r="B679" s="576"/>
      <c r="C679" s="573"/>
      <c r="D679" s="573"/>
      <c r="E679" s="573"/>
      <c r="F679" s="573"/>
      <c r="G679" s="574"/>
      <c r="H679" s="574"/>
      <c r="I679" s="574"/>
    </row>
    <row r="680" spans="1:9">
      <c r="A680" s="573"/>
      <c r="B680" s="573"/>
      <c r="C680" s="573"/>
      <c r="D680" s="573"/>
      <c r="E680" s="573"/>
      <c r="F680" s="573"/>
      <c r="G680" s="574"/>
      <c r="H680" s="574"/>
      <c r="I680" s="574"/>
    </row>
    <row r="681" spans="1:9">
      <c r="A681" s="573"/>
      <c r="B681" s="573"/>
      <c r="C681" s="573"/>
      <c r="D681" s="573"/>
      <c r="E681" s="573"/>
      <c r="F681" s="573"/>
      <c r="G681" s="574"/>
      <c r="H681" s="574"/>
      <c r="I681" s="574"/>
    </row>
    <row r="682" spans="1:9">
      <c r="A682" s="577"/>
      <c r="B682" s="573"/>
      <c r="C682" s="573"/>
      <c r="D682" s="573"/>
      <c r="E682" s="573"/>
      <c r="F682" s="573"/>
      <c r="G682" s="574"/>
      <c r="H682" s="574"/>
      <c r="I682" s="574"/>
    </row>
    <row r="683" spans="1:9">
      <c r="A683" s="578"/>
      <c r="B683" s="573"/>
      <c r="C683" s="573"/>
      <c r="D683" s="573"/>
      <c r="E683" s="573"/>
      <c r="F683" s="573"/>
      <c r="G683" s="574"/>
      <c r="H683" s="574"/>
      <c r="I683" s="574"/>
    </row>
    <row r="684" spans="1:9">
      <c r="A684" s="578"/>
      <c r="B684" s="573"/>
      <c r="C684" s="573"/>
      <c r="D684" s="573"/>
      <c r="E684" s="573"/>
      <c r="F684" s="573"/>
      <c r="G684" s="574"/>
      <c r="H684" s="574"/>
      <c r="I684" s="574"/>
    </row>
    <row r="685" spans="1:9">
      <c r="A685" s="578"/>
      <c r="B685" s="573"/>
      <c r="C685" s="573"/>
      <c r="D685" s="573"/>
      <c r="E685" s="573"/>
      <c r="F685" s="573"/>
      <c r="G685" s="574"/>
      <c r="H685" s="574"/>
      <c r="I685" s="574"/>
    </row>
    <row r="686" spans="1:9">
      <c r="A686" s="578"/>
      <c r="B686" s="573"/>
      <c r="C686" s="573"/>
      <c r="D686" s="573"/>
      <c r="E686" s="573"/>
      <c r="F686" s="573"/>
      <c r="G686" s="574"/>
      <c r="H686" s="574"/>
      <c r="I686" s="574"/>
    </row>
    <row r="687" spans="1:9">
      <c r="A687" s="575"/>
      <c r="B687" s="576"/>
      <c r="C687" s="573"/>
      <c r="D687" s="573"/>
      <c r="E687" s="573"/>
      <c r="F687" s="573"/>
      <c r="G687" s="574"/>
      <c r="H687" s="574"/>
      <c r="I687" s="574"/>
    </row>
    <row r="688" spans="1:9">
      <c r="A688" s="573"/>
      <c r="B688" s="573"/>
      <c r="C688" s="573"/>
      <c r="D688" s="573"/>
      <c r="E688" s="573"/>
      <c r="F688" s="573"/>
      <c r="G688" s="574"/>
      <c r="H688" s="574"/>
      <c r="I688" s="574"/>
    </row>
    <row r="689" spans="1:9">
      <c r="A689" s="573"/>
      <c r="B689" s="573"/>
      <c r="C689" s="573"/>
      <c r="D689" s="573"/>
      <c r="E689" s="573"/>
      <c r="F689" s="573"/>
      <c r="G689" s="574"/>
      <c r="H689" s="574"/>
      <c r="I689" s="574"/>
    </row>
    <row r="690" spans="1:9">
      <c r="A690" s="573"/>
      <c r="B690" s="573"/>
      <c r="C690" s="573"/>
      <c r="D690" s="573"/>
      <c r="E690" s="573"/>
      <c r="F690" s="573"/>
      <c r="G690" s="574"/>
      <c r="H690" s="574"/>
      <c r="I690" s="574"/>
    </row>
    <row r="691" spans="1:9">
      <c r="A691" s="573"/>
      <c r="B691" s="573"/>
      <c r="C691" s="573"/>
      <c r="D691" s="573"/>
      <c r="E691" s="573"/>
      <c r="F691" s="573"/>
      <c r="G691" s="574"/>
      <c r="H691" s="574"/>
      <c r="I691" s="574"/>
    </row>
    <row r="692" spans="1:9">
      <c r="A692" s="577"/>
      <c r="B692" s="573"/>
      <c r="C692" s="573"/>
      <c r="D692" s="573"/>
      <c r="E692" s="573"/>
      <c r="F692" s="573"/>
      <c r="G692" s="574"/>
      <c r="H692" s="574"/>
      <c r="I692" s="574"/>
    </row>
    <row r="693" spans="1:9">
      <c r="A693" s="572"/>
      <c r="B693" s="573"/>
      <c r="C693" s="573"/>
      <c r="D693" s="573"/>
      <c r="E693" s="573"/>
      <c r="F693" s="573"/>
      <c r="G693" s="574"/>
      <c r="H693" s="574"/>
      <c r="I693" s="574"/>
    </row>
    <row r="694" spans="1:9">
      <c r="A694" s="575"/>
      <c r="B694" s="576"/>
      <c r="C694" s="573"/>
      <c r="D694" s="573"/>
      <c r="E694" s="573"/>
      <c r="F694" s="573"/>
      <c r="G694" s="574"/>
      <c r="H694" s="574"/>
      <c r="I694" s="574"/>
    </row>
    <row r="695" spans="1:9">
      <c r="A695" s="573"/>
      <c r="B695" s="573"/>
      <c r="C695" s="573"/>
      <c r="D695" s="573"/>
      <c r="E695" s="573"/>
      <c r="F695" s="573"/>
      <c r="G695" s="574"/>
      <c r="H695" s="574"/>
      <c r="I695" s="574"/>
    </row>
    <row r="696" spans="1:9">
      <c r="A696" s="573"/>
      <c r="B696" s="573"/>
      <c r="C696" s="573"/>
      <c r="D696" s="573"/>
      <c r="E696" s="573"/>
      <c r="F696" s="573"/>
      <c r="G696" s="574"/>
      <c r="H696" s="574"/>
      <c r="I696" s="574"/>
    </row>
    <row r="697" spans="1:9">
      <c r="A697" s="573"/>
      <c r="B697" s="573"/>
      <c r="C697" s="573"/>
      <c r="D697" s="573"/>
      <c r="E697" s="573"/>
      <c r="F697" s="573"/>
      <c r="G697" s="574"/>
      <c r="H697" s="574"/>
      <c r="I697" s="574"/>
    </row>
    <row r="698" spans="1:9">
      <c r="A698" s="573"/>
      <c r="B698" s="573"/>
      <c r="C698" s="573"/>
      <c r="D698" s="573"/>
      <c r="E698" s="573"/>
      <c r="F698" s="573"/>
      <c r="G698" s="574"/>
      <c r="H698" s="574"/>
      <c r="I698" s="574"/>
    </row>
    <row r="699" spans="1:9">
      <c r="A699" s="577"/>
      <c r="B699" s="573"/>
      <c r="C699" s="573"/>
      <c r="D699" s="573"/>
      <c r="E699" s="573"/>
      <c r="F699" s="573"/>
      <c r="G699" s="574"/>
      <c r="H699" s="574"/>
      <c r="I699" s="574"/>
    </row>
    <row r="700" spans="1:9">
      <c r="A700" s="572"/>
      <c r="B700" s="573"/>
      <c r="C700" s="573"/>
      <c r="D700" s="573"/>
      <c r="E700" s="573"/>
      <c r="F700" s="573"/>
      <c r="G700" s="574"/>
      <c r="H700" s="574"/>
      <c r="I700" s="574"/>
    </row>
    <row r="701" spans="1:9">
      <c r="A701" s="575"/>
      <c r="B701" s="576"/>
      <c r="C701" s="573"/>
      <c r="D701" s="573"/>
      <c r="E701" s="573"/>
      <c r="F701" s="573"/>
      <c r="G701" s="574"/>
      <c r="H701" s="574"/>
      <c r="I701" s="574"/>
    </row>
    <row r="702" spans="1:9">
      <c r="A702" s="573"/>
      <c r="B702" s="573"/>
      <c r="C702" s="573"/>
      <c r="D702" s="573"/>
      <c r="E702" s="573"/>
      <c r="F702" s="573"/>
      <c r="G702" s="574"/>
      <c r="H702" s="574"/>
      <c r="I702" s="574"/>
    </row>
    <row r="703" spans="1:9">
      <c r="A703" s="573"/>
      <c r="B703" s="573"/>
      <c r="C703" s="573"/>
      <c r="D703" s="573"/>
      <c r="E703" s="573"/>
      <c r="F703" s="573"/>
      <c r="G703" s="574"/>
      <c r="H703" s="574"/>
      <c r="I703" s="574"/>
    </row>
    <row r="704" spans="1:9">
      <c r="A704" s="573"/>
      <c r="B704" s="573"/>
      <c r="C704" s="573"/>
      <c r="D704" s="573"/>
      <c r="E704" s="573"/>
      <c r="F704" s="573"/>
      <c r="G704" s="574"/>
      <c r="H704" s="574"/>
      <c r="I704" s="574"/>
    </row>
    <row r="705" spans="1:9">
      <c r="A705" s="573"/>
      <c r="B705" s="573"/>
      <c r="C705" s="573"/>
      <c r="D705" s="573"/>
      <c r="E705" s="573"/>
      <c r="F705" s="573"/>
      <c r="G705" s="574"/>
      <c r="H705" s="574"/>
      <c r="I705" s="574"/>
    </row>
    <row r="706" spans="1:9">
      <c r="A706" s="573"/>
      <c r="B706" s="573"/>
      <c r="C706" s="573"/>
      <c r="D706" s="573"/>
      <c r="E706" s="573"/>
      <c r="F706" s="573"/>
      <c r="G706" s="574"/>
      <c r="H706" s="574"/>
      <c r="I706" s="574"/>
    </row>
    <row r="707" spans="1:9">
      <c r="A707" s="584"/>
      <c r="B707" s="584"/>
      <c r="C707" s="584"/>
      <c r="D707" s="575"/>
      <c r="E707" s="576"/>
      <c r="F707" s="573"/>
      <c r="G707" s="574"/>
      <c r="H707" s="574"/>
      <c r="I707" s="574"/>
    </row>
    <row r="708" spans="1:9">
      <c r="A708" s="573"/>
      <c r="B708" s="573"/>
      <c r="C708" s="573"/>
      <c r="D708" s="573"/>
      <c r="E708" s="573"/>
      <c r="F708" s="573"/>
      <c r="G708" s="574"/>
      <c r="H708" s="574"/>
      <c r="I708" s="574"/>
    </row>
    <row r="709" spans="1:9">
      <c r="A709" s="573"/>
      <c r="B709" s="573"/>
      <c r="C709" s="573"/>
      <c r="D709" s="573"/>
      <c r="E709" s="573"/>
      <c r="F709" s="573"/>
      <c r="G709" s="574"/>
      <c r="H709" s="574"/>
      <c r="I709" s="574"/>
    </row>
    <row r="710" spans="1:9">
      <c r="A710" s="573"/>
      <c r="B710" s="573"/>
      <c r="C710" s="573"/>
      <c r="D710" s="573"/>
      <c r="E710" s="573"/>
      <c r="F710" s="573"/>
      <c r="G710" s="574"/>
      <c r="H710" s="574"/>
      <c r="I710" s="574"/>
    </row>
    <row r="711" spans="1:9">
      <c r="A711" s="573"/>
      <c r="B711" s="573"/>
      <c r="C711" s="573"/>
      <c r="D711" s="573"/>
      <c r="E711" s="573"/>
      <c r="F711" s="573"/>
      <c r="G711" s="574"/>
      <c r="H711" s="574"/>
      <c r="I711" s="574"/>
    </row>
    <row r="712" spans="1:9">
      <c r="A712" s="573"/>
      <c r="B712" s="573"/>
      <c r="C712" s="573"/>
      <c r="D712" s="573"/>
      <c r="E712" s="573"/>
      <c r="F712" s="573"/>
      <c r="G712" s="574"/>
      <c r="H712" s="574"/>
      <c r="I712" s="574"/>
    </row>
    <row r="713" spans="1:9">
      <c r="A713" s="584"/>
      <c r="B713" s="584"/>
      <c r="C713" s="584"/>
      <c r="D713" s="574"/>
      <c r="E713" s="574"/>
      <c r="F713" s="573"/>
      <c r="G713" s="574"/>
      <c r="H713" s="574"/>
      <c r="I713" s="574"/>
    </row>
    <row r="714" spans="1:9">
      <c r="A714" s="584"/>
      <c r="B714" s="584"/>
      <c r="C714" s="584"/>
      <c r="D714" s="574"/>
      <c r="E714" s="574"/>
      <c r="F714" s="573"/>
      <c r="G714" s="574"/>
      <c r="H714" s="574"/>
      <c r="I714" s="574"/>
    </row>
    <row r="715" spans="1:9">
      <c r="A715" s="584"/>
      <c r="B715" s="585"/>
      <c r="C715" s="584"/>
      <c r="D715" s="574"/>
      <c r="E715" s="574"/>
      <c r="F715" s="573"/>
      <c r="G715" s="574"/>
      <c r="H715" s="574"/>
      <c r="I715" s="574"/>
    </row>
    <row r="716" spans="1:9">
      <c r="A716" s="584"/>
      <c r="B716" s="584"/>
      <c r="C716" s="584"/>
      <c r="D716" s="574"/>
      <c r="E716" s="574"/>
      <c r="F716" s="573"/>
      <c r="G716" s="574"/>
      <c r="H716" s="574"/>
      <c r="I716" s="574"/>
    </row>
    <row r="717" spans="1:9">
      <c r="A717" s="584"/>
      <c r="B717" s="584"/>
      <c r="C717" s="584"/>
      <c r="D717" s="574"/>
      <c r="E717" s="574"/>
      <c r="F717" s="573"/>
      <c r="G717" s="574"/>
      <c r="H717" s="574"/>
      <c r="I717" s="574"/>
    </row>
    <row r="718" spans="1:9">
      <c r="A718" s="584"/>
      <c r="B718" s="584"/>
      <c r="C718" s="584"/>
      <c r="D718" s="574"/>
      <c r="E718" s="574"/>
      <c r="F718" s="573"/>
      <c r="G718" s="574"/>
      <c r="H718" s="574"/>
      <c r="I718" s="574"/>
    </row>
    <row r="719" spans="1:9">
      <c r="A719" s="577"/>
      <c r="B719" s="577"/>
      <c r="C719" s="577"/>
      <c r="D719" s="577"/>
      <c r="E719" s="574"/>
      <c r="F719" s="573"/>
      <c r="G719" s="574"/>
      <c r="H719" s="574"/>
      <c r="I719" s="574"/>
    </row>
    <row r="720" spans="1:9">
      <c r="A720" s="578"/>
      <c r="B720" s="578"/>
      <c r="C720" s="578"/>
      <c r="D720" s="578"/>
      <c r="E720" s="574"/>
      <c r="F720" s="573"/>
      <c r="G720" s="574"/>
      <c r="H720" s="574"/>
      <c r="I720" s="574"/>
    </row>
    <row r="721" spans="1:9">
      <c r="A721" s="577"/>
      <c r="B721" s="577"/>
      <c r="C721" s="577"/>
      <c r="D721" s="585"/>
      <c r="E721" s="584"/>
      <c r="F721" s="573"/>
      <c r="G721" s="574"/>
      <c r="H721" s="574"/>
      <c r="I721" s="574"/>
    </row>
    <row r="722" spans="1:9">
      <c r="A722" s="577"/>
      <c r="B722" s="577"/>
      <c r="C722" s="577"/>
      <c r="D722" s="577"/>
      <c r="E722" s="574"/>
      <c r="F722" s="573"/>
      <c r="G722" s="574"/>
      <c r="H722" s="574"/>
      <c r="I722" s="574"/>
    </row>
    <row r="723" spans="1:9">
      <c r="A723" s="573"/>
      <c r="B723" s="572"/>
      <c r="C723" s="580"/>
      <c r="D723" s="572"/>
      <c r="E723" s="580"/>
      <c r="F723" s="575"/>
      <c r="G723" s="576"/>
      <c r="H723" s="574"/>
      <c r="I723" s="574"/>
    </row>
    <row r="724" spans="1:9">
      <c r="A724" s="573"/>
      <c r="B724" s="573"/>
      <c r="C724" s="573"/>
      <c r="D724" s="575"/>
      <c r="E724" s="576"/>
      <c r="F724" s="573"/>
      <c r="G724" s="574"/>
      <c r="H724" s="574"/>
      <c r="I724" s="574"/>
    </row>
    <row r="725" spans="1:9">
      <c r="A725" s="573"/>
      <c r="B725" s="573"/>
      <c r="C725" s="573"/>
      <c r="D725" s="573"/>
      <c r="E725" s="573"/>
      <c r="F725" s="573"/>
      <c r="G725" s="574"/>
      <c r="H725" s="574"/>
      <c r="I725" s="574"/>
    </row>
    <row r="726" spans="1:9">
      <c r="A726" s="573"/>
      <c r="B726" s="573"/>
      <c r="C726" s="573"/>
      <c r="D726" s="573"/>
      <c r="E726" s="573"/>
      <c r="F726" s="573"/>
      <c r="G726" s="574"/>
      <c r="H726" s="574"/>
      <c r="I726" s="574"/>
    </row>
    <row r="727" spans="1:9">
      <c r="A727" s="577"/>
      <c r="B727" s="573"/>
      <c r="C727" s="573"/>
      <c r="D727" s="573"/>
      <c r="E727" s="573"/>
      <c r="F727" s="573"/>
      <c r="G727" s="574"/>
      <c r="H727" s="574"/>
      <c r="I727" s="574"/>
    </row>
    <row r="728" spans="1:9">
      <c r="A728" s="578"/>
      <c r="B728" s="573"/>
      <c r="C728" s="573"/>
      <c r="D728" s="573"/>
      <c r="E728" s="573"/>
      <c r="F728" s="573"/>
      <c r="G728" s="574"/>
      <c r="H728" s="574"/>
      <c r="I728" s="574"/>
    </row>
    <row r="729" spans="1:9">
      <c r="A729" s="578"/>
      <c r="B729" s="573"/>
      <c r="C729" s="573"/>
      <c r="D729" s="573"/>
      <c r="E729" s="573"/>
      <c r="F729" s="573"/>
      <c r="G729" s="574"/>
      <c r="H729" s="574"/>
      <c r="I729" s="574"/>
    </row>
    <row r="730" spans="1:9">
      <c r="A730" s="578"/>
      <c r="B730" s="573"/>
      <c r="C730" s="573"/>
      <c r="D730" s="573"/>
      <c r="E730" s="573"/>
      <c r="F730" s="573"/>
      <c r="G730" s="574"/>
      <c r="H730" s="574"/>
      <c r="I730" s="574"/>
    </row>
    <row r="731" spans="1:9">
      <c r="A731" s="578"/>
      <c r="B731" s="573"/>
      <c r="C731" s="573"/>
      <c r="D731" s="573"/>
      <c r="E731" s="573"/>
      <c r="F731" s="573"/>
      <c r="G731" s="574"/>
      <c r="H731" s="574"/>
      <c r="I731" s="574"/>
    </row>
    <row r="732" spans="1:9">
      <c r="A732" s="578"/>
      <c r="B732" s="573"/>
      <c r="C732" s="573"/>
      <c r="D732" s="573"/>
      <c r="E732" s="573"/>
      <c r="F732" s="573"/>
      <c r="G732" s="574"/>
      <c r="H732" s="574"/>
      <c r="I732" s="574"/>
    </row>
    <row r="733" spans="1:9">
      <c r="A733" s="562"/>
      <c r="B733" s="573"/>
      <c r="C733" s="562"/>
      <c r="D733" s="573"/>
      <c r="E733" s="573"/>
      <c r="F733" s="573"/>
      <c r="G733" s="574"/>
      <c r="H733" s="574"/>
      <c r="I733" s="574"/>
    </row>
    <row r="734" spans="1:9">
      <c r="A734" s="562"/>
      <c r="B734" s="573"/>
      <c r="C734" s="562"/>
      <c r="D734" s="573"/>
      <c r="E734" s="573"/>
      <c r="F734" s="573"/>
      <c r="G734" s="574"/>
      <c r="H734" s="574"/>
      <c r="I734" s="574"/>
    </row>
    <row r="735" spans="1:9">
      <c r="A735" s="575"/>
      <c r="B735" s="576"/>
      <c r="C735" s="573"/>
      <c r="D735" s="573"/>
      <c r="E735" s="573"/>
      <c r="F735" s="573"/>
      <c r="G735" s="574"/>
      <c r="H735" s="574"/>
      <c r="I735" s="574"/>
    </row>
    <row r="736" spans="1:9">
      <c r="A736" s="573"/>
      <c r="B736" s="573"/>
      <c r="C736" s="573"/>
      <c r="D736" s="573"/>
      <c r="E736" s="573"/>
      <c r="F736" s="573"/>
      <c r="G736" s="574"/>
      <c r="H736" s="574"/>
      <c r="I736" s="574"/>
    </row>
    <row r="737" spans="1:9">
      <c r="A737" s="573"/>
      <c r="B737" s="573"/>
      <c r="C737" s="573"/>
      <c r="D737" s="573"/>
      <c r="E737" s="573"/>
      <c r="F737" s="573"/>
      <c r="G737" s="574"/>
      <c r="H737" s="574"/>
      <c r="I737" s="574"/>
    </row>
    <row r="738" spans="1:9">
      <c r="A738" s="573"/>
      <c r="B738" s="573"/>
      <c r="C738" s="573"/>
      <c r="D738" s="573"/>
      <c r="E738" s="573"/>
      <c r="F738" s="573"/>
      <c r="G738" s="574"/>
      <c r="H738" s="574"/>
      <c r="I738" s="574"/>
    </row>
    <row r="739" spans="1:9">
      <c r="A739" s="573"/>
      <c r="B739" s="573"/>
      <c r="C739" s="573"/>
      <c r="D739" s="573"/>
      <c r="E739" s="573"/>
      <c r="F739" s="573"/>
      <c r="G739" s="574"/>
      <c r="H739" s="574"/>
      <c r="I739" s="574"/>
    </row>
    <row r="740" spans="1:9">
      <c r="A740" s="577"/>
      <c r="B740" s="573"/>
      <c r="C740" s="573"/>
      <c r="D740" s="573"/>
      <c r="E740" s="573"/>
      <c r="F740" s="573"/>
      <c r="G740" s="574"/>
      <c r="H740" s="574"/>
      <c r="I740" s="574"/>
    </row>
    <row r="741" spans="1:9">
      <c r="A741" s="578"/>
      <c r="B741" s="573"/>
      <c r="C741" s="573"/>
      <c r="D741" s="573"/>
      <c r="E741" s="573"/>
      <c r="F741" s="573"/>
      <c r="G741" s="574"/>
      <c r="H741" s="574"/>
      <c r="I741" s="574"/>
    </row>
    <row r="742" spans="1:9">
      <c r="A742" s="578"/>
      <c r="B742" s="573"/>
      <c r="C742" s="573"/>
      <c r="D742" s="573"/>
      <c r="E742" s="573"/>
      <c r="F742" s="573"/>
      <c r="G742" s="574"/>
      <c r="H742" s="574"/>
      <c r="I742" s="574"/>
    </row>
    <row r="743" spans="1:9">
      <c r="A743" s="578"/>
      <c r="B743" s="573"/>
      <c r="C743" s="573"/>
      <c r="D743" s="573"/>
      <c r="E743" s="573"/>
      <c r="F743" s="573"/>
      <c r="G743" s="574"/>
      <c r="H743" s="574"/>
      <c r="I743" s="574"/>
    </row>
    <row r="744" spans="1:9">
      <c r="A744" s="578"/>
      <c r="B744" s="573"/>
      <c r="C744" s="573"/>
      <c r="D744" s="573"/>
      <c r="E744" s="573"/>
      <c r="F744" s="573"/>
      <c r="G744" s="574"/>
      <c r="H744" s="574"/>
      <c r="I744" s="574"/>
    </row>
    <row r="745" spans="1:9">
      <c r="A745" s="578"/>
      <c r="B745" s="573"/>
      <c r="C745" s="573"/>
      <c r="D745" s="573"/>
      <c r="E745" s="573"/>
      <c r="F745" s="573"/>
      <c r="G745" s="574"/>
      <c r="H745" s="574"/>
      <c r="I745" s="574"/>
    </row>
    <row r="746" spans="1:9">
      <c r="A746" s="578"/>
      <c r="B746" s="573"/>
      <c r="C746" s="573"/>
      <c r="D746" s="573"/>
      <c r="E746" s="573"/>
      <c r="F746" s="573"/>
      <c r="G746" s="574"/>
      <c r="H746" s="574"/>
      <c r="I746" s="574"/>
    </row>
    <row r="747" spans="1:9">
      <c r="A747" s="575"/>
      <c r="B747" s="576"/>
      <c r="C747" s="573"/>
      <c r="D747" s="573"/>
      <c r="E747" s="573"/>
      <c r="F747" s="573"/>
      <c r="G747" s="574"/>
      <c r="H747" s="574"/>
      <c r="I747" s="574"/>
    </row>
    <row r="748" spans="1:9">
      <c r="A748" s="573"/>
      <c r="B748" s="573"/>
      <c r="C748" s="573"/>
      <c r="D748" s="573"/>
      <c r="E748" s="573"/>
      <c r="F748" s="573"/>
      <c r="G748" s="574"/>
      <c r="H748" s="574"/>
      <c r="I748" s="574"/>
    </row>
    <row r="749" spans="1:9">
      <c r="A749" s="573"/>
      <c r="B749" s="573"/>
      <c r="C749" s="573"/>
      <c r="D749" s="573"/>
      <c r="E749" s="573"/>
      <c r="F749" s="573"/>
      <c r="G749" s="574"/>
      <c r="H749" s="574"/>
      <c r="I749" s="574"/>
    </row>
    <row r="750" spans="1:9">
      <c r="A750" s="573"/>
      <c r="B750" s="573"/>
      <c r="C750" s="573"/>
      <c r="D750" s="573"/>
      <c r="E750" s="573"/>
      <c r="F750" s="573"/>
      <c r="G750" s="574"/>
      <c r="H750" s="574"/>
      <c r="I750" s="574"/>
    </row>
    <row r="751" spans="1:9">
      <c r="A751" s="573"/>
      <c r="B751" s="573"/>
      <c r="C751" s="573"/>
      <c r="D751" s="573"/>
      <c r="E751" s="573"/>
      <c r="F751" s="573"/>
      <c r="G751" s="574"/>
      <c r="H751" s="574"/>
      <c r="I751" s="574"/>
    </row>
    <row r="752" spans="1:9">
      <c r="A752" s="577"/>
      <c r="B752" s="573"/>
      <c r="C752" s="573"/>
      <c r="D752" s="573"/>
      <c r="E752" s="573"/>
      <c r="F752" s="573"/>
      <c r="G752" s="574"/>
      <c r="H752" s="574"/>
      <c r="I752" s="574"/>
    </row>
    <row r="753" spans="1:9">
      <c r="A753" s="578"/>
      <c r="B753" s="573"/>
      <c r="C753" s="573"/>
      <c r="D753" s="573"/>
      <c r="E753" s="573"/>
      <c r="F753" s="573"/>
      <c r="G753" s="574"/>
      <c r="H753" s="574"/>
      <c r="I753" s="574"/>
    </row>
    <row r="754" spans="1:9">
      <c r="A754" s="578"/>
      <c r="B754" s="573"/>
      <c r="C754" s="573"/>
      <c r="D754" s="573"/>
      <c r="E754" s="573"/>
      <c r="F754" s="573"/>
      <c r="G754" s="574"/>
      <c r="H754" s="574"/>
      <c r="I754" s="574"/>
    </row>
    <row r="755" spans="1:9">
      <c r="A755" s="578"/>
      <c r="B755" s="573"/>
      <c r="C755" s="573"/>
      <c r="D755" s="573"/>
      <c r="E755" s="573"/>
      <c r="F755" s="573"/>
      <c r="G755" s="574"/>
      <c r="H755" s="574"/>
      <c r="I755" s="574"/>
    </row>
    <row r="756" spans="1:9">
      <c r="A756" s="578"/>
      <c r="B756" s="573"/>
      <c r="C756" s="573"/>
      <c r="D756" s="573"/>
      <c r="E756" s="573"/>
      <c r="F756" s="573"/>
      <c r="G756" s="574"/>
      <c r="H756" s="574"/>
      <c r="I756" s="574"/>
    </row>
    <row r="757" spans="1:9">
      <c r="A757" s="572"/>
      <c r="B757" s="573"/>
      <c r="C757" s="573"/>
      <c r="D757" s="573"/>
      <c r="E757" s="573"/>
      <c r="F757" s="573"/>
      <c r="G757" s="574"/>
      <c r="H757" s="574"/>
      <c r="I757" s="574"/>
    </row>
    <row r="758" spans="1:9">
      <c r="A758" s="572"/>
      <c r="B758" s="573"/>
      <c r="C758" s="573"/>
      <c r="D758" s="573"/>
      <c r="E758" s="573"/>
      <c r="F758" s="573"/>
      <c r="G758" s="574"/>
      <c r="H758" s="574"/>
      <c r="I758" s="574"/>
    </row>
    <row r="759" spans="1:9">
      <c r="A759" s="575"/>
      <c r="B759" s="576"/>
      <c r="C759" s="573"/>
      <c r="D759" s="573"/>
      <c r="E759" s="573"/>
      <c r="F759" s="573"/>
      <c r="G759" s="574"/>
      <c r="H759" s="574"/>
      <c r="I759" s="574"/>
    </row>
    <row r="760" spans="1:9">
      <c r="A760" s="573"/>
      <c r="B760" s="573"/>
      <c r="C760" s="573"/>
      <c r="D760" s="573"/>
      <c r="E760" s="573"/>
      <c r="F760" s="573"/>
      <c r="G760" s="574"/>
      <c r="H760" s="574"/>
      <c r="I760" s="574"/>
    </row>
    <row r="761" spans="1:9">
      <c r="A761" s="573"/>
      <c r="B761" s="573"/>
      <c r="C761" s="573"/>
      <c r="D761" s="573"/>
      <c r="E761" s="573"/>
      <c r="F761" s="573"/>
      <c r="G761" s="574"/>
      <c r="H761" s="574"/>
      <c r="I761" s="574"/>
    </row>
    <row r="762" spans="1:9">
      <c r="A762" s="573"/>
      <c r="B762" s="573"/>
      <c r="C762" s="573"/>
      <c r="D762" s="573"/>
      <c r="E762" s="573"/>
      <c r="F762" s="573"/>
      <c r="G762" s="574"/>
      <c r="H762" s="574"/>
      <c r="I762" s="574"/>
    </row>
    <row r="763" spans="1:9">
      <c r="A763" s="573"/>
      <c r="B763" s="573"/>
      <c r="C763" s="573"/>
      <c r="D763" s="573"/>
      <c r="E763" s="573"/>
      <c r="F763" s="573"/>
      <c r="G763" s="574"/>
      <c r="H763" s="574"/>
      <c r="I763" s="574"/>
    </row>
    <row r="764" spans="1:9">
      <c r="A764" s="584"/>
      <c r="B764" s="584"/>
      <c r="C764" s="584"/>
      <c r="D764" s="575"/>
      <c r="E764" s="576"/>
      <c r="F764" s="573"/>
      <c r="G764" s="574"/>
      <c r="H764" s="574"/>
      <c r="I764" s="574"/>
    </row>
    <row r="765" spans="1:9">
      <c r="A765" s="573"/>
      <c r="B765" s="573"/>
      <c r="C765" s="573"/>
      <c r="D765" s="573"/>
      <c r="E765" s="573"/>
      <c r="F765" s="573"/>
      <c r="G765" s="574"/>
      <c r="H765" s="574"/>
      <c r="I765" s="574"/>
    </row>
    <row r="766" spans="1:9">
      <c r="A766" s="573"/>
      <c r="B766" s="573"/>
      <c r="C766" s="573"/>
      <c r="D766" s="573"/>
      <c r="E766" s="573"/>
      <c r="F766" s="573"/>
      <c r="G766" s="574"/>
      <c r="H766" s="574"/>
      <c r="I766" s="574"/>
    </row>
    <row r="767" spans="1:9">
      <c r="A767" s="573"/>
      <c r="B767" s="573"/>
      <c r="C767" s="573"/>
      <c r="D767" s="573"/>
      <c r="E767" s="573"/>
      <c r="F767" s="573"/>
      <c r="G767" s="574"/>
      <c r="H767" s="574"/>
      <c r="I767" s="574"/>
    </row>
    <row r="768" spans="1:9">
      <c r="A768" s="573"/>
      <c r="B768" s="573"/>
      <c r="C768" s="573"/>
      <c r="D768" s="573"/>
      <c r="E768" s="573"/>
      <c r="F768" s="573"/>
      <c r="G768" s="574"/>
      <c r="H768" s="574"/>
      <c r="I768" s="574"/>
    </row>
    <row r="769" spans="1:9">
      <c r="A769" s="573"/>
      <c r="B769" s="573"/>
      <c r="C769" s="573"/>
      <c r="D769" s="573"/>
      <c r="E769" s="573"/>
      <c r="F769" s="573"/>
      <c r="G769" s="574"/>
      <c r="H769" s="574"/>
      <c r="I769" s="574"/>
    </row>
    <row r="770" spans="1:9" ht="15.75">
      <c r="A770" s="586"/>
      <c r="B770" s="586"/>
      <c r="C770" s="586"/>
      <c r="D770" s="586"/>
      <c r="E770" s="586"/>
      <c r="F770" s="586"/>
      <c r="G770" s="574"/>
      <c r="H770" s="574"/>
      <c r="I770" s="574"/>
    </row>
    <row r="771" spans="1:9">
      <c r="A771" s="587"/>
      <c r="B771" s="587"/>
      <c r="C771" s="587"/>
      <c r="D771" s="588"/>
      <c r="E771" s="587"/>
      <c r="F771" s="587"/>
      <c r="G771" s="574"/>
      <c r="H771" s="574"/>
      <c r="I771" s="574"/>
    </row>
    <row r="772" spans="1:9">
      <c r="A772" s="589"/>
      <c r="B772" s="589"/>
      <c r="C772" s="589"/>
      <c r="D772" s="589"/>
      <c r="E772" s="589"/>
      <c r="F772" s="589"/>
      <c r="G772" s="574"/>
      <c r="H772" s="574"/>
      <c r="I772" s="574"/>
    </row>
    <row r="773" spans="1:9">
      <c r="A773" s="589"/>
      <c r="B773" s="589"/>
      <c r="C773" s="589"/>
      <c r="D773" s="589"/>
      <c r="E773" s="589"/>
      <c r="F773" s="589"/>
      <c r="G773" s="574"/>
      <c r="H773" s="574"/>
      <c r="I773" s="574"/>
    </row>
    <row r="774" spans="1:9">
      <c r="A774" s="589"/>
      <c r="B774" s="589"/>
      <c r="C774" s="589"/>
      <c r="D774" s="589"/>
      <c r="E774" s="589"/>
      <c r="F774" s="589"/>
      <c r="G774" s="574"/>
      <c r="H774" s="574"/>
      <c r="I774" s="574"/>
    </row>
    <row r="775" spans="1:9">
      <c r="A775" s="589"/>
      <c r="B775" s="589"/>
      <c r="C775" s="589"/>
      <c r="D775" s="589"/>
      <c r="E775" s="589"/>
      <c r="F775" s="589"/>
      <c r="G775" s="574"/>
      <c r="H775" s="574"/>
      <c r="I775" s="574"/>
    </row>
    <row r="776" spans="1:9">
      <c r="A776" s="589"/>
      <c r="B776" s="589"/>
      <c r="C776" s="589"/>
      <c r="D776" s="589"/>
      <c r="E776" s="589"/>
      <c r="F776" s="589"/>
      <c r="G776" s="574"/>
      <c r="H776" s="574"/>
      <c r="I776" s="574"/>
    </row>
    <row r="777" spans="1:9">
      <c r="A777" s="589"/>
      <c r="B777" s="589"/>
      <c r="C777" s="589"/>
      <c r="D777" s="589"/>
      <c r="E777" s="589"/>
      <c r="F777" s="589"/>
      <c r="G777" s="574"/>
      <c r="H777" s="574"/>
      <c r="I777" s="574"/>
    </row>
    <row r="778" spans="1:9">
      <c r="A778" s="589"/>
      <c r="B778" s="589"/>
      <c r="C778" s="589"/>
      <c r="D778" s="589"/>
      <c r="E778" s="589"/>
      <c r="F778" s="589"/>
      <c r="G778" s="574"/>
      <c r="H778" s="574"/>
      <c r="I778" s="574"/>
    </row>
    <row r="779" spans="1:9">
      <c r="A779" s="589"/>
      <c r="B779" s="589"/>
      <c r="C779" s="589"/>
      <c r="D779" s="589"/>
      <c r="E779" s="589"/>
      <c r="F779" s="589"/>
      <c r="G779" s="574"/>
      <c r="H779" s="574"/>
      <c r="I779" s="574"/>
    </row>
    <row r="780" spans="1:9">
      <c r="A780" s="589"/>
      <c r="B780" s="589"/>
      <c r="C780" s="589"/>
      <c r="D780" s="589"/>
      <c r="E780" s="589"/>
      <c r="F780" s="589"/>
      <c r="G780" s="574"/>
      <c r="H780" s="574"/>
      <c r="I780" s="574"/>
    </row>
    <row r="781" spans="1:9">
      <c r="A781" s="589"/>
      <c r="B781" s="589"/>
      <c r="C781" s="589"/>
      <c r="D781" s="589"/>
      <c r="E781" s="589"/>
      <c r="F781" s="589"/>
      <c r="G781" s="574"/>
      <c r="H781" s="574"/>
      <c r="I781" s="574"/>
    </row>
    <row r="782" spans="1:9">
      <c r="A782" s="589"/>
      <c r="B782" s="589"/>
      <c r="C782" s="589"/>
      <c r="D782" s="589"/>
      <c r="E782" s="589"/>
      <c r="F782" s="589"/>
      <c r="G782" s="574"/>
      <c r="H782" s="574"/>
      <c r="I782" s="574"/>
    </row>
    <row r="783" spans="1:9">
      <c r="A783" s="589"/>
      <c r="B783" s="589"/>
      <c r="C783" s="589"/>
      <c r="D783" s="589"/>
      <c r="E783" s="589"/>
      <c r="F783" s="589"/>
      <c r="G783" s="574"/>
      <c r="H783" s="574"/>
      <c r="I783" s="574"/>
    </row>
    <row r="784" spans="1:9">
      <c r="A784" s="589"/>
      <c r="B784" s="589"/>
      <c r="C784" s="589"/>
      <c r="D784" s="589"/>
      <c r="E784" s="589"/>
      <c r="F784" s="589"/>
      <c r="G784" s="574"/>
      <c r="H784" s="574"/>
      <c r="I784" s="574"/>
    </row>
    <row r="785" spans="1:9">
      <c r="A785" s="589"/>
      <c r="B785" s="589"/>
      <c r="C785" s="589"/>
      <c r="D785" s="589"/>
      <c r="E785" s="589"/>
      <c r="F785" s="589"/>
      <c r="G785" s="574"/>
      <c r="H785" s="574"/>
      <c r="I785" s="574"/>
    </row>
    <row r="786" spans="1:9">
      <c r="A786" s="589"/>
      <c r="B786" s="589"/>
      <c r="C786" s="589"/>
      <c r="D786" s="589"/>
      <c r="E786" s="589"/>
      <c r="F786" s="589"/>
      <c r="G786" s="574"/>
      <c r="H786" s="574"/>
      <c r="I786" s="574"/>
    </row>
    <row r="787" spans="1:9">
      <c r="A787" s="589"/>
      <c r="B787" s="589"/>
      <c r="C787" s="589"/>
      <c r="D787" s="589"/>
      <c r="E787" s="589"/>
      <c r="F787" s="589"/>
      <c r="G787" s="574"/>
      <c r="H787" s="574"/>
      <c r="I787" s="574"/>
    </row>
    <row r="788" spans="1:9">
      <c r="A788" s="589"/>
      <c r="B788" s="589"/>
      <c r="C788" s="589"/>
      <c r="D788" s="589"/>
      <c r="E788" s="589"/>
      <c r="F788" s="589"/>
      <c r="G788" s="574"/>
      <c r="H788" s="574"/>
      <c r="I788" s="574"/>
    </row>
    <row r="789" spans="1:9">
      <c r="A789" s="589"/>
      <c r="B789" s="589"/>
      <c r="C789" s="589"/>
      <c r="D789" s="589"/>
      <c r="E789" s="589"/>
      <c r="F789" s="589"/>
      <c r="G789" s="574"/>
      <c r="H789" s="574"/>
      <c r="I789" s="574"/>
    </row>
    <row r="790" spans="1:9">
      <c r="A790" s="589"/>
      <c r="B790" s="589"/>
      <c r="C790" s="589"/>
      <c r="D790" s="589"/>
      <c r="E790" s="589"/>
      <c r="F790" s="589"/>
      <c r="G790" s="574"/>
      <c r="H790" s="574"/>
      <c r="I790" s="574"/>
    </row>
    <row r="791" spans="1:9">
      <c r="A791" s="589"/>
      <c r="B791" s="589"/>
      <c r="C791" s="589"/>
      <c r="D791" s="589"/>
      <c r="E791" s="589"/>
      <c r="F791" s="589"/>
      <c r="G791" s="574"/>
      <c r="H791" s="574"/>
      <c r="I791" s="574"/>
    </row>
    <row r="792" spans="1:9">
      <c r="A792" s="589"/>
      <c r="B792" s="589"/>
      <c r="C792" s="589"/>
      <c r="D792" s="589"/>
      <c r="E792" s="589"/>
      <c r="F792" s="590"/>
      <c r="G792" s="574"/>
      <c r="H792" s="574"/>
      <c r="I792" s="574"/>
    </row>
    <row r="793" spans="1:9">
      <c r="A793" s="589"/>
      <c r="B793" s="589"/>
      <c r="C793" s="589"/>
      <c r="D793" s="589"/>
      <c r="E793" s="589"/>
      <c r="F793" s="589"/>
      <c r="G793" s="574"/>
      <c r="H793" s="574"/>
      <c r="I793" s="574"/>
    </row>
    <row r="794" spans="1:9" ht="15.75">
      <c r="A794" s="586"/>
      <c r="B794" s="586"/>
      <c r="C794" s="586"/>
      <c r="D794" s="586"/>
      <c r="E794" s="586"/>
      <c r="F794" s="586"/>
      <c r="G794" s="574"/>
      <c r="H794" s="574"/>
      <c r="I794" s="574"/>
    </row>
    <row r="795" spans="1:9">
      <c r="A795" s="587"/>
      <c r="B795" s="587"/>
      <c r="C795" s="587"/>
      <c r="D795" s="588"/>
      <c r="E795" s="587"/>
      <c r="F795" s="587"/>
      <c r="G795" s="574"/>
      <c r="H795" s="574"/>
      <c r="I795" s="574"/>
    </row>
    <row r="796" spans="1:9">
      <c r="A796" s="589"/>
      <c r="B796" s="589"/>
      <c r="C796" s="589"/>
      <c r="D796" s="589"/>
      <c r="E796" s="589"/>
      <c r="F796" s="589"/>
      <c r="G796" s="574"/>
      <c r="H796" s="574"/>
      <c r="I796" s="574"/>
    </row>
    <row r="797" spans="1:9">
      <c r="A797" s="589"/>
      <c r="B797" s="589"/>
      <c r="C797" s="589"/>
      <c r="D797" s="589"/>
      <c r="E797" s="589"/>
      <c r="F797" s="589"/>
      <c r="G797" s="574"/>
      <c r="H797" s="574"/>
      <c r="I797" s="574"/>
    </row>
    <row r="798" spans="1:9">
      <c r="A798" s="589"/>
      <c r="B798" s="589"/>
      <c r="C798" s="589"/>
      <c r="D798" s="589"/>
      <c r="E798" s="589"/>
      <c r="F798" s="589"/>
      <c r="G798" s="574"/>
      <c r="H798" s="574"/>
      <c r="I798" s="574"/>
    </row>
    <row r="799" spans="1:9">
      <c r="A799" s="589"/>
      <c r="B799" s="589"/>
      <c r="C799" s="589"/>
      <c r="D799" s="589"/>
      <c r="E799" s="589"/>
      <c r="F799" s="589"/>
      <c r="G799" s="574"/>
      <c r="H799" s="574"/>
      <c r="I799" s="574"/>
    </row>
    <row r="800" spans="1:9">
      <c r="A800" s="589"/>
      <c r="B800" s="589"/>
      <c r="C800" s="589"/>
      <c r="D800" s="589"/>
      <c r="E800" s="589"/>
      <c r="F800" s="589"/>
      <c r="G800" s="574"/>
      <c r="H800" s="574"/>
      <c r="I800" s="574"/>
    </row>
    <row r="801" spans="1:9">
      <c r="A801" s="589"/>
      <c r="B801" s="589"/>
      <c r="C801" s="589"/>
      <c r="D801" s="589"/>
      <c r="E801" s="589"/>
      <c r="F801" s="589"/>
      <c r="G801" s="574"/>
      <c r="H801" s="574"/>
      <c r="I801" s="574"/>
    </row>
    <row r="802" spans="1:9">
      <c r="A802" s="583"/>
      <c r="B802" s="583"/>
      <c r="C802" s="583"/>
      <c r="D802" s="589"/>
      <c r="E802" s="589"/>
      <c r="F802" s="589"/>
      <c r="G802" s="574"/>
      <c r="H802" s="574"/>
      <c r="I802" s="574"/>
    </row>
    <row r="803" spans="1:9">
      <c r="A803" s="583"/>
      <c r="B803" s="583"/>
      <c r="C803" s="583"/>
      <c r="D803" s="589"/>
      <c r="E803" s="589"/>
      <c r="F803" s="589"/>
      <c r="G803" s="574"/>
      <c r="H803" s="574"/>
      <c r="I803" s="574"/>
    </row>
    <row r="804" spans="1:9">
      <c r="A804" s="583"/>
      <c r="B804" s="583"/>
      <c r="C804" s="583"/>
      <c r="D804" s="589"/>
      <c r="E804" s="589"/>
      <c r="F804" s="589"/>
      <c r="G804" s="574"/>
      <c r="H804" s="574"/>
      <c r="I804" s="574"/>
    </row>
    <row r="805" spans="1:9">
      <c r="A805" s="583"/>
      <c r="B805" s="583"/>
      <c r="C805" s="583"/>
      <c r="D805" s="589"/>
      <c r="E805" s="589"/>
      <c r="F805" s="589"/>
      <c r="G805" s="574"/>
      <c r="H805" s="574"/>
      <c r="I805" s="574"/>
    </row>
    <row r="806" spans="1:9">
      <c r="A806" s="583"/>
      <c r="B806" s="583"/>
      <c r="C806" s="589"/>
      <c r="D806" s="589"/>
      <c r="E806" s="589"/>
      <c r="F806" s="589"/>
      <c r="G806" s="574"/>
      <c r="H806" s="574"/>
      <c r="I806" s="574"/>
    </row>
    <row r="807" spans="1:9">
      <c r="A807" s="589"/>
      <c r="B807" s="583"/>
      <c r="C807" s="589"/>
      <c r="D807" s="578"/>
      <c r="E807" s="589"/>
      <c r="F807" s="589"/>
      <c r="G807" s="574"/>
      <c r="H807" s="574"/>
      <c r="I807" s="574"/>
    </row>
    <row r="808" spans="1:9">
      <c r="A808" s="589"/>
      <c r="B808" s="583"/>
      <c r="C808" s="589"/>
      <c r="D808" s="591"/>
      <c r="E808" s="589"/>
      <c r="F808" s="589"/>
      <c r="G808" s="574"/>
      <c r="H808" s="574"/>
      <c r="I808" s="574"/>
    </row>
    <row r="809" spans="1:9">
      <c r="A809" s="589"/>
      <c r="B809" s="583"/>
      <c r="C809" s="583"/>
      <c r="D809" s="583"/>
      <c r="E809" s="583"/>
      <c r="F809" s="589"/>
      <c r="G809" s="574"/>
      <c r="H809" s="574"/>
      <c r="I809" s="574"/>
    </row>
    <row r="810" spans="1:9">
      <c r="A810" s="547"/>
      <c r="B810" s="547"/>
      <c r="C810" s="547"/>
      <c r="D810" s="547"/>
      <c r="E810" s="547"/>
      <c r="F810" s="590"/>
      <c r="G810" s="574"/>
      <c r="H810" s="574"/>
      <c r="I810" s="574"/>
    </row>
    <row r="811" spans="1:9">
      <c r="A811" s="574"/>
      <c r="B811" s="574"/>
      <c r="C811" s="574"/>
      <c r="D811" s="574"/>
      <c r="E811" s="574"/>
      <c r="F811" s="589"/>
      <c r="G811" s="574"/>
      <c r="H811" s="574"/>
      <c r="I811" s="574"/>
    </row>
    <row r="812" spans="1:9">
      <c r="A812" s="592"/>
      <c r="B812" s="592"/>
      <c r="C812" s="572"/>
      <c r="D812" s="580"/>
      <c r="E812" s="572"/>
      <c r="F812" s="580"/>
      <c r="G812" s="574"/>
      <c r="H812" s="574"/>
      <c r="I812" s="574"/>
    </row>
    <row r="813" spans="1:9">
      <c r="A813" s="592"/>
      <c r="B813" s="572"/>
      <c r="C813" s="580"/>
      <c r="D813" s="572"/>
      <c r="E813" s="580"/>
      <c r="F813" s="572"/>
      <c r="G813" s="580"/>
      <c r="H813" s="574"/>
      <c r="I813" s="574"/>
    </row>
    <row r="814" spans="1:9">
      <c r="A814" s="593"/>
      <c r="B814" s="575"/>
      <c r="C814" s="576"/>
      <c r="D814" s="573"/>
      <c r="E814" s="573"/>
      <c r="F814" s="573"/>
      <c r="G814" s="574"/>
      <c r="H814" s="574"/>
      <c r="I814" s="574"/>
    </row>
    <row r="815" spans="1:9">
      <c r="A815" s="574"/>
      <c r="B815" s="574"/>
      <c r="C815" s="574"/>
      <c r="D815" s="574"/>
      <c r="E815" s="574"/>
      <c r="F815" s="589"/>
      <c r="G815" s="574"/>
      <c r="H815" s="574"/>
      <c r="I815" s="574"/>
    </row>
    <row r="816" spans="1:9">
      <c r="A816" s="574"/>
      <c r="B816" s="574"/>
      <c r="C816" s="574"/>
      <c r="D816" s="574"/>
      <c r="E816" s="574"/>
      <c r="F816" s="589"/>
      <c r="G816" s="574"/>
      <c r="H816" s="574"/>
      <c r="I816" s="574"/>
    </row>
    <row r="817" spans="1:9">
      <c r="A817" s="574"/>
      <c r="B817" s="574"/>
      <c r="C817" s="574"/>
      <c r="D817" s="574"/>
      <c r="E817" s="574"/>
      <c r="F817" s="589"/>
      <c r="G817" s="574"/>
      <c r="H817" s="574"/>
      <c r="I817" s="574"/>
    </row>
    <row r="818" spans="1:9">
      <c r="A818" s="574"/>
      <c r="B818" s="574"/>
      <c r="C818" s="574"/>
      <c r="D818" s="574"/>
      <c r="E818" s="574"/>
      <c r="F818" s="589"/>
      <c r="G818" s="574"/>
      <c r="H818" s="574"/>
      <c r="I818" s="574"/>
    </row>
    <row r="819" spans="1:9" ht="15.75">
      <c r="A819" s="586"/>
      <c r="B819" s="586"/>
      <c r="C819" s="586"/>
      <c r="D819" s="586"/>
      <c r="E819" s="586"/>
      <c r="F819" s="586"/>
      <c r="G819" s="574"/>
      <c r="H819" s="574"/>
      <c r="I819" s="574"/>
    </row>
    <row r="820" spans="1:9">
      <c r="A820" s="587"/>
      <c r="B820" s="587"/>
      <c r="C820" s="587"/>
      <c r="D820" s="588"/>
      <c r="E820" s="587"/>
      <c r="F820" s="587"/>
      <c r="G820" s="574"/>
      <c r="H820" s="574"/>
      <c r="I820" s="574"/>
    </row>
    <row r="821" spans="1:9">
      <c r="A821" s="589"/>
      <c r="B821" s="594"/>
      <c r="C821" s="589"/>
      <c r="D821" s="574"/>
      <c r="E821" s="574"/>
      <c r="F821" s="589"/>
      <c r="G821" s="574"/>
      <c r="H821" s="574"/>
      <c r="I821" s="574"/>
    </row>
    <row r="822" spans="1:9">
      <c r="A822" s="589"/>
      <c r="B822" s="594"/>
      <c r="C822" s="589"/>
      <c r="D822" s="574"/>
      <c r="E822" s="574"/>
      <c r="F822" s="574"/>
      <c r="G822" s="574"/>
      <c r="H822" s="574"/>
      <c r="I822" s="574"/>
    </row>
    <row r="823" spans="1:9">
      <c r="A823" s="589"/>
      <c r="B823" s="594"/>
      <c r="C823" s="589"/>
      <c r="D823" s="574"/>
      <c r="E823" s="574"/>
      <c r="F823" s="574"/>
      <c r="G823" s="574"/>
      <c r="H823" s="574"/>
      <c r="I823" s="574"/>
    </row>
    <row r="824" spans="1:9">
      <c r="A824" s="589"/>
      <c r="B824" s="594"/>
      <c r="C824" s="589"/>
      <c r="D824" s="574"/>
      <c r="E824" s="574"/>
      <c r="F824" s="574"/>
      <c r="G824" s="574"/>
      <c r="H824" s="574"/>
      <c r="I824" s="574"/>
    </row>
    <row r="825" spans="1:9">
      <c r="A825" s="589"/>
      <c r="B825" s="594"/>
      <c r="C825" s="589"/>
      <c r="D825" s="574"/>
      <c r="E825" s="574"/>
      <c r="F825" s="574"/>
      <c r="G825" s="574"/>
      <c r="H825" s="574"/>
      <c r="I825" s="574"/>
    </row>
    <row r="826" spans="1:9">
      <c r="A826" s="589"/>
      <c r="B826" s="594"/>
      <c r="C826" s="589"/>
      <c r="D826" s="574"/>
      <c r="E826" s="574"/>
      <c r="F826" s="574"/>
      <c r="G826" s="574"/>
      <c r="H826" s="574"/>
      <c r="I826" s="574"/>
    </row>
    <row r="827" spans="1:9">
      <c r="A827" s="589"/>
      <c r="B827" s="594"/>
      <c r="C827" s="589"/>
      <c r="D827" s="574"/>
      <c r="E827" s="574"/>
      <c r="F827" s="574"/>
      <c r="G827" s="574"/>
      <c r="H827" s="574"/>
      <c r="I827" s="574"/>
    </row>
    <row r="828" spans="1:9">
      <c r="A828" s="589"/>
      <c r="B828" s="594"/>
      <c r="C828" s="589"/>
      <c r="D828" s="574"/>
      <c r="E828" s="574"/>
      <c r="F828" s="574"/>
      <c r="G828" s="574"/>
      <c r="H828" s="574"/>
      <c r="I828" s="574"/>
    </row>
    <row r="829" spans="1:9">
      <c r="A829" s="589"/>
      <c r="B829" s="594"/>
      <c r="C829" s="589"/>
      <c r="D829" s="574"/>
      <c r="E829" s="574"/>
      <c r="F829" s="574"/>
      <c r="G829" s="574"/>
      <c r="H829" s="574"/>
      <c r="I829" s="574"/>
    </row>
    <row r="830" spans="1:9">
      <c r="A830" s="589"/>
      <c r="B830" s="594"/>
      <c r="C830" s="589"/>
      <c r="D830" s="574"/>
      <c r="E830" s="574"/>
      <c r="F830" s="574"/>
      <c r="G830" s="574"/>
      <c r="H830" s="574"/>
      <c r="I830" s="574"/>
    </row>
    <row r="831" spans="1:9">
      <c r="A831" s="589"/>
      <c r="B831" s="594"/>
      <c r="C831" s="595"/>
      <c r="D831" s="576"/>
      <c r="E831" s="574"/>
      <c r="F831" s="574"/>
      <c r="G831" s="574"/>
      <c r="H831" s="574"/>
      <c r="I831" s="574"/>
    </row>
    <row r="832" spans="1:9">
      <c r="A832" s="574"/>
      <c r="B832" s="574"/>
      <c r="C832" s="574"/>
      <c r="D832" s="574"/>
      <c r="E832" s="574"/>
      <c r="F832" s="574"/>
      <c r="G832" s="574"/>
      <c r="H832" s="574"/>
      <c r="I832" s="574"/>
    </row>
    <row r="833" spans="1:9">
      <c r="A833" s="574"/>
      <c r="B833" s="574"/>
      <c r="C833" s="574"/>
      <c r="D833" s="574"/>
      <c r="E833" s="574"/>
      <c r="F833" s="574"/>
      <c r="G833" s="574"/>
      <c r="H833" s="574"/>
      <c r="I833" s="574"/>
    </row>
    <row r="834" spans="1:9">
      <c r="A834" s="574"/>
      <c r="B834" s="574"/>
      <c r="C834" s="574"/>
      <c r="D834" s="574"/>
      <c r="E834" s="574"/>
      <c r="F834" s="574"/>
      <c r="G834" s="574"/>
      <c r="H834" s="574"/>
      <c r="I834" s="574"/>
    </row>
    <row r="835" spans="1:9">
      <c r="A835" s="573"/>
      <c r="B835" s="573"/>
      <c r="C835" s="573"/>
      <c r="D835" s="573"/>
      <c r="E835" s="573"/>
      <c r="F835" s="573"/>
      <c r="G835" s="574"/>
      <c r="H835" s="574"/>
      <c r="I835" s="574"/>
    </row>
    <row r="836" spans="1:9">
      <c r="A836" s="573"/>
      <c r="B836" s="573"/>
      <c r="C836" s="573"/>
      <c r="D836" s="573"/>
      <c r="E836" s="573"/>
      <c r="F836" s="573"/>
      <c r="G836" s="574"/>
      <c r="H836" s="574"/>
      <c r="I836" s="574"/>
    </row>
    <row r="837" spans="1:9" ht="15.75">
      <c r="A837" s="586"/>
      <c r="B837" s="586"/>
      <c r="C837" s="586"/>
      <c r="D837" s="586"/>
      <c r="E837" s="586"/>
      <c r="F837" s="586"/>
      <c r="G837" s="574"/>
      <c r="H837" s="574"/>
      <c r="I837" s="574"/>
    </row>
    <row r="838" spans="1:9">
      <c r="A838" s="587"/>
      <c r="B838" s="587"/>
      <c r="C838" s="587"/>
      <c r="D838" s="588"/>
      <c r="E838" s="587"/>
      <c r="F838" s="587"/>
      <c r="G838" s="574"/>
      <c r="H838" s="574"/>
      <c r="I838" s="574"/>
    </row>
    <row r="839" spans="1:9">
      <c r="A839" s="583"/>
      <c r="B839" s="583"/>
      <c r="C839" s="583"/>
      <c r="D839" s="589"/>
      <c r="E839" s="589"/>
      <c r="F839" s="589"/>
      <c r="G839" s="574"/>
      <c r="H839" s="574"/>
      <c r="I839" s="574"/>
    </row>
    <row r="840" spans="1:9">
      <c r="A840" s="583"/>
      <c r="B840" s="583"/>
      <c r="C840" s="583"/>
      <c r="D840" s="589"/>
      <c r="E840" s="589"/>
      <c r="F840" s="589"/>
      <c r="G840" s="574"/>
      <c r="H840" s="574"/>
      <c r="I840" s="574"/>
    </row>
    <row r="841" spans="1:9">
      <c r="A841" s="583"/>
      <c r="B841" s="583"/>
      <c r="C841" s="583"/>
      <c r="D841" s="589"/>
      <c r="E841" s="589"/>
      <c r="F841" s="589"/>
      <c r="G841" s="574"/>
      <c r="H841" s="574"/>
      <c r="I841" s="574"/>
    </row>
    <row r="842" spans="1:9">
      <c r="A842" s="583"/>
      <c r="B842" s="583"/>
      <c r="C842" s="583"/>
      <c r="D842" s="589"/>
      <c r="E842" s="589"/>
      <c r="F842" s="589"/>
      <c r="G842" s="574"/>
      <c r="H842" s="574"/>
      <c r="I842" s="574"/>
    </row>
    <row r="843" spans="1:9">
      <c r="A843" s="583"/>
      <c r="B843" s="583"/>
      <c r="C843" s="589"/>
      <c r="D843" s="589"/>
      <c r="E843" s="589"/>
      <c r="F843" s="589"/>
      <c r="G843" s="574"/>
      <c r="H843" s="574"/>
      <c r="I843" s="574"/>
    </row>
    <row r="844" spans="1:9">
      <c r="A844" s="583"/>
      <c r="B844" s="583"/>
      <c r="C844" s="589"/>
      <c r="D844" s="578"/>
      <c r="E844" s="589"/>
      <c r="F844" s="589"/>
      <c r="G844" s="574"/>
      <c r="H844" s="574"/>
      <c r="I844" s="574"/>
    </row>
    <row r="845" spans="1:9">
      <c r="A845" s="583"/>
      <c r="B845" s="583"/>
      <c r="C845" s="589"/>
      <c r="D845" s="578"/>
      <c r="E845" s="589"/>
      <c r="F845" s="589"/>
      <c r="G845" s="574"/>
      <c r="H845" s="574"/>
      <c r="I845" s="574"/>
    </row>
    <row r="846" spans="1:9">
      <c r="A846" s="583"/>
      <c r="B846" s="583"/>
      <c r="C846" s="589"/>
      <c r="D846" s="591"/>
      <c r="E846" s="589"/>
      <c r="F846" s="575"/>
      <c r="G846" s="576"/>
      <c r="H846" s="574"/>
      <c r="I846" s="574"/>
    </row>
    <row r="847" spans="1:9">
      <c r="A847" s="583"/>
      <c r="B847" s="583"/>
      <c r="C847" s="589"/>
      <c r="D847" s="573"/>
      <c r="E847" s="573"/>
      <c r="F847" s="573"/>
      <c r="G847" s="574"/>
      <c r="H847" s="574"/>
      <c r="I847" s="574"/>
    </row>
    <row r="848" spans="1:9">
      <c r="A848" s="583"/>
      <c r="B848" s="583"/>
      <c r="C848" s="589"/>
      <c r="D848" s="573"/>
      <c r="E848" s="573"/>
      <c r="F848" s="573"/>
      <c r="G848" s="574"/>
      <c r="H848" s="574"/>
      <c r="I848" s="574"/>
    </row>
    <row r="849" spans="1:9">
      <c r="A849" s="573"/>
      <c r="B849" s="573"/>
      <c r="C849" s="573"/>
      <c r="D849" s="573"/>
      <c r="E849" s="573"/>
      <c r="F849" s="573"/>
      <c r="G849" s="574"/>
      <c r="H849" s="574"/>
      <c r="I849" s="574"/>
    </row>
    <row r="850" spans="1:9">
      <c r="A850" s="573"/>
      <c r="B850" s="573"/>
      <c r="C850" s="573"/>
      <c r="D850" s="573"/>
      <c r="E850" s="573"/>
      <c r="F850" s="573"/>
      <c r="G850" s="574"/>
      <c r="H850" s="574"/>
      <c r="I850" s="574"/>
    </row>
    <row r="851" spans="1:9" ht="15.75">
      <c r="A851" s="586"/>
      <c r="B851" s="586"/>
      <c r="C851" s="586"/>
      <c r="D851" s="586"/>
      <c r="E851" s="586"/>
      <c r="F851" s="586"/>
      <c r="G851" s="574"/>
      <c r="H851" s="574"/>
      <c r="I851" s="574"/>
    </row>
    <row r="852" spans="1:9">
      <c r="A852" s="587"/>
      <c r="B852" s="587"/>
      <c r="C852" s="587"/>
      <c r="D852" s="588"/>
      <c r="E852" s="587"/>
      <c r="F852" s="587"/>
      <c r="G852" s="574"/>
      <c r="H852" s="574"/>
      <c r="I852" s="574"/>
    </row>
    <row r="853" spans="1:9">
      <c r="A853" s="589"/>
      <c r="B853" s="589"/>
      <c r="C853" s="589"/>
      <c r="D853" s="589"/>
      <c r="E853" s="589"/>
      <c r="F853" s="589"/>
      <c r="G853" s="574"/>
      <c r="H853" s="574"/>
      <c r="I853" s="574"/>
    </row>
    <row r="854" spans="1:9">
      <c r="A854" s="589"/>
      <c r="B854" s="589"/>
      <c r="C854" s="589"/>
      <c r="D854" s="589"/>
      <c r="E854" s="589"/>
      <c r="F854" s="589"/>
      <c r="G854" s="574"/>
      <c r="H854" s="574"/>
      <c r="I854" s="574"/>
    </row>
    <row r="855" spans="1:9">
      <c r="A855" s="589"/>
      <c r="B855" s="589"/>
      <c r="C855" s="589"/>
      <c r="D855" s="589"/>
      <c r="E855" s="589"/>
      <c r="F855" s="589"/>
      <c r="G855" s="574"/>
      <c r="H855" s="574"/>
      <c r="I855" s="574"/>
    </row>
    <row r="856" spans="1:9">
      <c r="A856" s="589"/>
      <c r="B856" s="589"/>
      <c r="C856" s="589"/>
      <c r="D856" s="589"/>
      <c r="E856" s="589"/>
      <c r="F856" s="589"/>
      <c r="G856" s="574"/>
      <c r="H856" s="574"/>
      <c r="I856" s="574"/>
    </row>
    <row r="857" spans="1:9">
      <c r="A857" s="589"/>
      <c r="B857" s="589"/>
      <c r="C857" s="589"/>
      <c r="D857" s="589"/>
      <c r="E857" s="589"/>
      <c r="F857" s="589"/>
      <c r="G857" s="574"/>
      <c r="H857" s="574"/>
      <c r="I857" s="574"/>
    </row>
    <row r="858" spans="1:9">
      <c r="A858" s="589"/>
      <c r="B858" s="589"/>
      <c r="C858" s="589"/>
      <c r="D858" s="589"/>
      <c r="E858" s="589"/>
      <c r="F858" s="589"/>
      <c r="G858" s="574"/>
      <c r="H858" s="574"/>
      <c r="I858" s="574"/>
    </row>
    <row r="859" spans="1:9">
      <c r="A859" s="589"/>
      <c r="B859" s="583"/>
      <c r="C859" s="589"/>
      <c r="D859" s="578"/>
      <c r="E859" s="589"/>
      <c r="F859" s="589"/>
      <c r="G859" s="574"/>
      <c r="H859" s="574"/>
      <c r="I859" s="574"/>
    </row>
    <row r="860" spans="1:9">
      <c r="A860" s="589"/>
      <c r="B860" s="583"/>
      <c r="C860" s="589"/>
      <c r="D860" s="591"/>
      <c r="E860" s="589"/>
      <c r="F860" s="589"/>
      <c r="G860" s="574"/>
      <c r="H860" s="574"/>
      <c r="I860" s="574"/>
    </row>
    <row r="861" spans="1:9">
      <c r="A861" s="589"/>
      <c r="B861" s="583"/>
      <c r="C861" s="583"/>
      <c r="D861" s="583"/>
      <c r="E861" s="583"/>
      <c r="F861" s="589"/>
      <c r="G861" s="574"/>
      <c r="H861" s="574"/>
      <c r="I861" s="574"/>
    </row>
    <row r="862" spans="1:9">
      <c r="A862" s="573"/>
      <c r="B862" s="573"/>
      <c r="C862" s="573"/>
      <c r="D862" s="573"/>
      <c r="E862" s="573"/>
      <c r="F862" s="575"/>
      <c r="G862" s="576"/>
      <c r="H862" s="574"/>
      <c r="I862" s="574"/>
    </row>
    <row r="863" spans="1:9">
      <c r="A863" s="573"/>
      <c r="B863" s="573"/>
      <c r="C863" s="573"/>
      <c r="D863" s="573"/>
      <c r="E863" s="573"/>
      <c r="F863" s="573"/>
      <c r="G863" s="574"/>
      <c r="H863" s="574"/>
      <c r="I863" s="574"/>
    </row>
    <row r="864" spans="1:9">
      <c r="A864" s="573"/>
      <c r="B864" s="573"/>
      <c r="C864" s="573"/>
      <c r="D864" s="573"/>
      <c r="E864" s="573"/>
      <c r="F864" s="573"/>
      <c r="G864" s="574"/>
      <c r="H864" s="574"/>
      <c r="I864" s="574"/>
    </row>
    <row r="865" spans="1:9">
      <c r="A865" s="584"/>
      <c r="B865" s="584"/>
      <c r="C865" s="572"/>
      <c r="D865" s="591"/>
      <c r="E865" s="578"/>
      <c r="F865" s="579"/>
      <c r="G865" s="575"/>
      <c r="H865" s="576"/>
      <c r="I865" s="576"/>
    </row>
    <row r="866" spans="1:9">
      <c r="A866" s="573"/>
      <c r="B866" s="573"/>
      <c r="C866" s="573"/>
      <c r="D866" s="573"/>
      <c r="E866" s="573"/>
      <c r="F866" s="573"/>
      <c r="G866" s="574"/>
      <c r="H866" s="574"/>
      <c r="I866" s="574"/>
    </row>
    <row r="867" spans="1:9">
      <c r="A867" s="573"/>
      <c r="B867" s="573"/>
      <c r="C867" s="573"/>
      <c r="D867" s="573"/>
      <c r="E867" s="573"/>
      <c r="F867" s="573"/>
      <c r="G867" s="574"/>
      <c r="H867" s="574"/>
      <c r="I867" s="574"/>
    </row>
    <row r="868" spans="1:9">
      <c r="A868" s="573"/>
      <c r="B868" s="573"/>
      <c r="C868" s="573"/>
      <c r="D868" s="573"/>
      <c r="E868" s="573"/>
      <c r="F868" s="573"/>
      <c r="G868" s="574"/>
      <c r="H868" s="574"/>
      <c r="I868" s="574"/>
    </row>
    <row r="869" spans="1:9">
      <c r="A869" s="584"/>
      <c r="B869" s="575"/>
      <c r="C869" s="576"/>
      <c r="D869" s="573"/>
      <c r="E869" s="573"/>
      <c r="F869" s="573"/>
      <c r="G869" s="574"/>
      <c r="H869" s="574"/>
      <c r="I869" s="574"/>
    </row>
    <row r="870" spans="1:9">
      <c r="A870" s="573"/>
      <c r="B870" s="573"/>
      <c r="C870" s="573"/>
      <c r="D870" s="573"/>
      <c r="E870" s="573"/>
      <c r="F870" s="573"/>
      <c r="G870" s="574"/>
      <c r="H870" s="574"/>
      <c r="I870" s="574"/>
    </row>
    <row r="871" spans="1:9">
      <c r="A871" s="573"/>
      <c r="B871" s="573"/>
      <c r="C871" s="573"/>
      <c r="D871" s="573"/>
      <c r="E871" s="573"/>
      <c r="F871" s="573"/>
      <c r="G871" s="574"/>
      <c r="H871" s="574"/>
      <c r="I871" s="574"/>
    </row>
    <row r="872" spans="1:9">
      <c r="A872" s="573"/>
      <c r="B872" s="573"/>
      <c r="C872" s="573"/>
      <c r="D872" s="573"/>
      <c r="E872" s="573"/>
      <c r="F872" s="573"/>
      <c r="G872" s="574"/>
      <c r="H872" s="574"/>
      <c r="I872" s="574"/>
    </row>
    <row r="873" spans="1:9" ht="15.75">
      <c r="A873" s="586"/>
      <c r="B873" s="586"/>
      <c r="C873" s="586"/>
      <c r="D873" s="586"/>
      <c r="E873" s="586"/>
      <c r="F873" s="586"/>
      <c r="G873" s="574"/>
      <c r="H873" s="574"/>
      <c r="I873" s="574"/>
    </row>
    <row r="874" spans="1:9">
      <c r="A874" s="587"/>
      <c r="B874" s="587"/>
      <c r="C874" s="587"/>
      <c r="D874" s="588"/>
      <c r="E874" s="587"/>
      <c r="F874" s="587"/>
      <c r="G874" s="574"/>
      <c r="H874" s="574"/>
      <c r="I874" s="574"/>
    </row>
    <row r="875" spans="1:9">
      <c r="A875" s="589"/>
      <c r="B875" s="589"/>
      <c r="C875" s="589"/>
      <c r="D875" s="589"/>
      <c r="E875" s="589"/>
      <c r="F875" s="589"/>
      <c r="G875" s="574"/>
      <c r="H875" s="574"/>
      <c r="I875" s="574"/>
    </row>
    <row r="876" spans="1:9">
      <c r="A876" s="589"/>
      <c r="B876" s="589"/>
      <c r="C876" s="589"/>
      <c r="D876" s="589"/>
      <c r="E876" s="589"/>
      <c r="F876" s="589"/>
      <c r="G876" s="574"/>
      <c r="H876" s="574"/>
      <c r="I876" s="574"/>
    </row>
    <row r="877" spans="1:9">
      <c r="A877" s="589"/>
      <c r="B877" s="589"/>
      <c r="C877" s="589"/>
      <c r="D877" s="589"/>
      <c r="E877" s="589"/>
      <c r="F877" s="589"/>
      <c r="G877" s="574"/>
      <c r="H877" s="574"/>
      <c r="I877" s="574"/>
    </row>
    <row r="878" spans="1:9">
      <c r="A878" s="589"/>
      <c r="B878" s="589"/>
      <c r="C878" s="589"/>
      <c r="D878" s="589"/>
      <c r="E878" s="589"/>
      <c r="F878" s="589"/>
      <c r="G878" s="574"/>
      <c r="H878" s="574"/>
      <c r="I878" s="574"/>
    </row>
    <row r="879" spans="1:9">
      <c r="A879" s="589"/>
      <c r="B879" s="589"/>
      <c r="C879" s="589"/>
      <c r="D879" s="589"/>
      <c r="E879" s="589"/>
      <c r="F879" s="589"/>
      <c r="G879" s="574"/>
      <c r="H879" s="574"/>
      <c r="I879" s="574"/>
    </row>
    <row r="880" spans="1:9">
      <c r="A880" s="589"/>
      <c r="B880" s="589"/>
      <c r="C880" s="589"/>
      <c r="D880" s="589"/>
      <c r="E880" s="589"/>
      <c r="F880" s="589"/>
      <c r="G880" s="574"/>
      <c r="H880" s="574"/>
      <c r="I880" s="574"/>
    </row>
    <row r="881" spans="1:9">
      <c r="A881" s="583"/>
      <c r="B881" s="583"/>
      <c r="C881" s="583"/>
      <c r="D881" s="589"/>
      <c r="E881" s="589"/>
      <c r="F881" s="589"/>
      <c r="G881" s="574"/>
      <c r="H881" s="574"/>
      <c r="I881" s="574"/>
    </row>
    <row r="882" spans="1:9">
      <c r="A882" s="583"/>
      <c r="B882" s="583"/>
      <c r="C882" s="583"/>
      <c r="D882" s="589"/>
      <c r="E882" s="589"/>
      <c r="F882" s="589"/>
      <c r="G882" s="574"/>
      <c r="H882" s="574"/>
      <c r="I882" s="574"/>
    </row>
    <row r="883" spans="1:9">
      <c r="A883" s="583"/>
      <c r="B883" s="583"/>
      <c r="C883" s="583"/>
      <c r="D883" s="589"/>
      <c r="E883" s="589"/>
      <c r="F883" s="589"/>
      <c r="G883" s="574"/>
      <c r="H883" s="574"/>
      <c r="I883" s="574"/>
    </row>
    <row r="884" spans="1:9">
      <c r="A884" s="583"/>
      <c r="B884" s="583"/>
      <c r="C884" s="583"/>
      <c r="D884" s="589"/>
      <c r="E884" s="589"/>
      <c r="F884" s="589"/>
      <c r="G884" s="574"/>
      <c r="H884" s="574"/>
      <c r="I884" s="574"/>
    </row>
    <row r="885" spans="1:9">
      <c r="A885" s="583"/>
      <c r="B885" s="583"/>
      <c r="C885" s="589"/>
      <c r="D885" s="589"/>
      <c r="E885" s="589"/>
      <c r="F885" s="589"/>
      <c r="G885" s="574"/>
      <c r="H885" s="574"/>
      <c r="I885" s="574"/>
    </row>
    <row r="886" spans="1:9">
      <c r="A886" s="589"/>
      <c r="B886" s="583"/>
      <c r="C886" s="589"/>
      <c r="D886" s="578"/>
      <c r="E886" s="589"/>
      <c r="F886" s="589"/>
      <c r="G886" s="574"/>
      <c r="H886" s="574"/>
      <c r="I886" s="574"/>
    </row>
    <row r="887" spans="1:9">
      <c r="A887" s="589"/>
      <c r="B887" s="583"/>
      <c r="C887" s="589"/>
      <c r="D887" s="591"/>
      <c r="E887" s="589"/>
      <c r="F887" s="589"/>
      <c r="G887" s="574"/>
      <c r="H887" s="574"/>
      <c r="I887" s="574"/>
    </row>
    <row r="888" spans="1:9">
      <c r="A888" s="589"/>
      <c r="B888" s="583"/>
      <c r="C888" s="583"/>
      <c r="D888" s="583"/>
      <c r="E888" s="583"/>
      <c r="F888" s="589"/>
      <c r="G888" s="574"/>
      <c r="H888" s="574"/>
      <c r="I888" s="574"/>
    </row>
    <row r="889" spans="1:9">
      <c r="A889" s="547"/>
      <c r="B889" s="547"/>
      <c r="C889" s="547"/>
      <c r="D889" s="547"/>
      <c r="E889" s="547"/>
      <c r="F889" s="575"/>
      <c r="G889" s="576"/>
      <c r="H889" s="574"/>
      <c r="I889" s="574"/>
    </row>
    <row r="890" spans="1:9">
      <c r="A890" s="573"/>
      <c r="B890" s="573"/>
      <c r="C890" s="573"/>
      <c r="D890" s="573"/>
      <c r="E890" s="573"/>
      <c r="F890" s="573"/>
      <c r="G890" s="574"/>
      <c r="H890" s="574"/>
      <c r="I890" s="574"/>
    </row>
    <row r="891" spans="1:9">
      <c r="A891" s="573"/>
      <c r="B891" s="573"/>
      <c r="C891" s="573"/>
      <c r="D891" s="573"/>
      <c r="E891" s="573"/>
      <c r="F891" s="573"/>
      <c r="G891" s="574"/>
      <c r="H891" s="574"/>
      <c r="I891" s="574"/>
    </row>
    <row r="892" spans="1:9">
      <c r="A892" s="573"/>
      <c r="B892" s="573"/>
      <c r="C892" s="573"/>
      <c r="D892" s="573"/>
      <c r="E892" s="573"/>
      <c r="F892" s="573"/>
      <c r="G892" s="574"/>
      <c r="H892" s="574"/>
      <c r="I892" s="574"/>
    </row>
    <row r="893" spans="1:9">
      <c r="A893" s="573"/>
      <c r="B893" s="573"/>
      <c r="C893" s="573"/>
      <c r="D893" s="573"/>
      <c r="E893" s="573"/>
      <c r="F893" s="573"/>
      <c r="G893" s="574"/>
      <c r="H893" s="574"/>
      <c r="I893" s="574"/>
    </row>
    <row r="894" spans="1:9">
      <c r="A894" s="577"/>
      <c r="B894" s="577"/>
      <c r="C894" s="577"/>
      <c r="D894" s="577"/>
      <c r="E894" s="574"/>
      <c r="F894" s="573"/>
      <c r="G894" s="574"/>
      <c r="H894" s="574"/>
      <c r="I894" s="574"/>
    </row>
    <row r="895" spans="1:9">
      <c r="A895" s="589"/>
      <c r="B895" s="589"/>
      <c r="C895" s="589"/>
      <c r="D895" s="589"/>
      <c r="E895" s="573"/>
      <c r="F895" s="573"/>
      <c r="G895" s="574"/>
      <c r="H895" s="574"/>
      <c r="I895" s="574"/>
    </row>
    <row r="896" spans="1:9">
      <c r="A896" s="589"/>
      <c r="B896" s="589"/>
      <c r="C896" s="589"/>
      <c r="D896" s="589"/>
      <c r="E896" s="573"/>
      <c r="F896" s="573"/>
      <c r="G896" s="574"/>
      <c r="H896" s="574"/>
      <c r="I896" s="574"/>
    </row>
    <row r="897" spans="1:9">
      <c r="A897" s="589"/>
      <c r="B897" s="589"/>
      <c r="C897" s="589"/>
      <c r="D897" s="589"/>
      <c r="E897" s="573"/>
      <c r="F897" s="573"/>
      <c r="G897" s="574"/>
      <c r="H897" s="574"/>
      <c r="I897" s="574"/>
    </row>
    <row r="898" spans="1:9">
      <c r="A898" s="573"/>
      <c r="B898" s="573"/>
      <c r="C898" s="574"/>
      <c r="D898" s="575"/>
      <c r="E898" s="576"/>
      <c r="F898" s="573"/>
      <c r="G898" s="574"/>
      <c r="H898" s="574"/>
      <c r="I898" s="574"/>
    </row>
    <row r="899" spans="1:9">
      <c r="A899" s="573"/>
      <c r="B899" s="573"/>
      <c r="C899" s="573"/>
      <c r="D899" s="573"/>
      <c r="E899" s="573"/>
      <c r="F899" s="573"/>
      <c r="G899" s="574"/>
      <c r="H899" s="574"/>
      <c r="I899" s="574"/>
    </row>
    <row r="900" spans="1:9">
      <c r="A900" s="573"/>
      <c r="B900" s="573"/>
      <c r="C900" s="573"/>
      <c r="D900" s="573"/>
      <c r="E900" s="573"/>
      <c r="F900" s="573"/>
      <c r="G900" s="574"/>
      <c r="H900" s="574"/>
      <c r="I900" s="574"/>
    </row>
    <row r="901" spans="1:9">
      <c r="A901" s="573"/>
      <c r="B901" s="573"/>
      <c r="C901" s="573"/>
      <c r="D901" s="573"/>
      <c r="E901" s="573"/>
      <c r="F901" s="573"/>
      <c r="G901" s="574"/>
      <c r="H901" s="574"/>
      <c r="I901" s="574"/>
    </row>
    <row r="902" spans="1:9">
      <c r="A902" s="573"/>
      <c r="B902" s="573"/>
      <c r="C902" s="573"/>
      <c r="D902" s="573"/>
      <c r="E902" s="573"/>
      <c r="F902" s="573"/>
      <c r="G902" s="574"/>
      <c r="H902" s="574"/>
      <c r="I902" s="574"/>
    </row>
    <row r="903" spans="1:9">
      <c r="A903" s="577"/>
      <c r="B903" s="577"/>
      <c r="C903" s="577"/>
      <c r="D903" s="577"/>
      <c r="E903" s="573"/>
      <c r="F903" s="573"/>
      <c r="G903" s="574"/>
      <c r="H903" s="574"/>
      <c r="I903" s="574"/>
    </row>
    <row r="904" spans="1:9">
      <c r="A904" s="578"/>
      <c r="B904" s="578"/>
      <c r="C904" s="589"/>
      <c r="D904" s="589"/>
      <c r="E904" s="573"/>
      <c r="F904" s="573"/>
      <c r="G904" s="574"/>
      <c r="H904" s="574"/>
      <c r="I904" s="574"/>
    </row>
    <row r="905" spans="1:9">
      <c r="A905" s="578"/>
      <c r="B905" s="578"/>
      <c r="C905" s="589"/>
      <c r="D905" s="589"/>
      <c r="E905" s="573"/>
      <c r="F905" s="573"/>
      <c r="G905" s="574"/>
      <c r="H905" s="574"/>
      <c r="I905" s="574"/>
    </row>
    <row r="906" spans="1:9">
      <c r="A906" s="578"/>
      <c r="B906" s="578"/>
      <c r="C906" s="589"/>
      <c r="D906" s="589"/>
      <c r="E906" s="573"/>
      <c r="F906" s="573"/>
      <c r="G906" s="574"/>
      <c r="H906" s="574"/>
      <c r="I906" s="574"/>
    </row>
    <row r="907" spans="1:9">
      <c r="A907" s="578"/>
      <c r="B907" s="578"/>
      <c r="C907" s="589"/>
      <c r="D907" s="589"/>
      <c r="E907" s="573"/>
      <c r="F907" s="573"/>
      <c r="G907" s="574"/>
      <c r="H907" s="574"/>
      <c r="I907" s="574"/>
    </row>
    <row r="908" spans="1:9">
      <c r="A908" s="572"/>
      <c r="B908" s="572"/>
      <c r="C908" s="589"/>
      <c r="D908" s="589"/>
      <c r="E908" s="573"/>
      <c r="F908" s="573"/>
      <c r="G908" s="574"/>
      <c r="H908" s="574"/>
      <c r="I908" s="574"/>
    </row>
    <row r="909" spans="1:9">
      <c r="A909" s="572"/>
      <c r="B909" s="572"/>
      <c r="C909" s="589"/>
      <c r="D909" s="589"/>
      <c r="E909" s="573"/>
      <c r="F909" s="573"/>
      <c r="G909" s="574"/>
      <c r="H909" s="574"/>
      <c r="I909" s="574"/>
    </row>
    <row r="910" spans="1:9">
      <c r="A910" s="572"/>
      <c r="B910" s="572"/>
      <c r="C910" s="589"/>
      <c r="D910" s="589"/>
      <c r="E910" s="573"/>
      <c r="F910" s="573"/>
      <c r="G910" s="574"/>
      <c r="H910" s="574"/>
      <c r="I910" s="574"/>
    </row>
    <row r="911" spans="1:9">
      <c r="A911" s="572"/>
      <c r="B911" s="572"/>
      <c r="C911" s="589"/>
      <c r="D911" s="589"/>
      <c r="E911" s="573"/>
      <c r="F911" s="573"/>
      <c r="G911" s="574"/>
      <c r="H911" s="574"/>
      <c r="I911" s="574"/>
    </row>
    <row r="912" spans="1:9">
      <c r="A912" s="572"/>
      <c r="B912" s="572"/>
      <c r="C912" s="589"/>
      <c r="D912" s="589"/>
      <c r="E912" s="573"/>
      <c r="F912" s="573"/>
      <c r="G912" s="574"/>
      <c r="H912" s="574"/>
      <c r="I912" s="574"/>
    </row>
    <row r="913" spans="1:9">
      <c r="A913" s="572"/>
      <c r="B913" s="572"/>
      <c r="C913" s="589"/>
      <c r="D913" s="589"/>
      <c r="E913" s="573"/>
      <c r="F913" s="573"/>
      <c r="G913" s="574"/>
      <c r="H913" s="574"/>
      <c r="I913" s="574"/>
    </row>
    <row r="914" spans="1:9">
      <c r="A914" s="572"/>
      <c r="B914" s="572"/>
      <c r="C914" s="589"/>
      <c r="D914" s="589"/>
      <c r="E914" s="573"/>
      <c r="F914" s="573"/>
      <c r="G914" s="574"/>
      <c r="H914" s="574"/>
      <c r="I914" s="574"/>
    </row>
    <row r="915" spans="1:9">
      <c r="A915" s="572"/>
      <c r="B915" s="572"/>
      <c r="C915" s="589"/>
      <c r="D915" s="575"/>
      <c r="E915" s="576"/>
      <c r="F915" s="573"/>
      <c r="G915" s="574"/>
      <c r="H915" s="574"/>
      <c r="I915" s="574"/>
    </row>
    <row r="916" spans="1:9">
      <c r="A916" s="572"/>
      <c r="B916" s="572"/>
      <c r="C916" s="589"/>
      <c r="D916" s="589"/>
      <c r="E916" s="573"/>
      <c r="F916" s="573"/>
      <c r="G916" s="574"/>
      <c r="H916" s="574"/>
      <c r="I916" s="574"/>
    </row>
    <row r="917" spans="1:9">
      <c r="A917" s="572"/>
      <c r="B917" s="572"/>
      <c r="C917" s="589"/>
      <c r="D917" s="589"/>
      <c r="E917" s="573"/>
      <c r="F917" s="573"/>
      <c r="G917" s="574"/>
      <c r="H917" s="574"/>
      <c r="I917" s="574"/>
    </row>
    <row r="918" spans="1:9">
      <c r="A918" s="573"/>
      <c r="B918" s="573"/>
      <c r="C918" s="573"/>
      <c r="D918" s="573"/>
      <c r="E918" s="573"/>
      <c r="F918" s="573"/>
      <c r="G918" s="574"/>
      <c r="H918" s="574"/>
      <c r="I918" s="574"/>
    </row>
    <row r="919" spans="1:9">
      <c r="A919" s="573"/>
      <c r="B919" s="573"/>
      <c r="C919" s="573"/>
      <c r="D919" s="573"/>
      <c r="E919" s="573"/>
      <c r="F919" s="573"/>
      <c r="G919" s="574"/>
      <c r="H919" s="574"/>
      <c r="I919" s="574"/>
    </row>
    <row r="920" spans="1:9">
      <c r="A920" s="573"/>
      <c r="B920" s="573"/>
      <c r="C920" s="573"/>
      <c r="D920" s="573"/>
      <c r="E920" s="573"/>
      <c r="F920" s="573"/>
      <c r="G920" s="574"/>
      <c r="H920" s="574"/>
      <c r="I920" s="574"/>
    </row>
    <row r="921" spans="1:9">
      <c r="A921" s="577"/>
      <c r="B921" s="576"/>
      <c r="C921" s="573"/>
      <c r="D921" s="573"/>
      <c r="E921" s="573"/>
      <c r="F921" s="573"/>
      <c r="G921" s="574"/>
      <c r="H921" s="574"/>
      <c r="I921" s="574"/>
    </row>
    <row r="922" spans="1:9">
      <c r="A922" s="578"/>
      <c r="B922" s="576"/>
      <c r="C922" s="573"/>
      <c r="D922" s="573"/>
      <c r="E922" s="573"/>
      <c r="F922" s="573"/>
      <c r="G922" s="574"/>
      <c r="H922" s="574"/>
      <c r="I922" s="574"/>
    </row>
    <row r="923" spans="1:9">
      <c r="A923" s="578"/>
      <c r="B923" s="576"/>
      <c r="C923" s="573"/>
      <c r="D923" s="573"/>
      <c r="E923" s="573"/>
      <c r="F923" s="573"/>
      <c r="G923" s="574"/>
      <c r="H923" s="574"/>
      <c r="I923" s="574"/>
    </row>
    <row r="924" spans="1:9">
      <c r="A924" s="578"/>
      <c r="B924" s="576"/>
      <c r="C924" s="573"/>
      <c r="D924" s="573"/>
      <c r="E924" s="573"/>
      <c r="F924" s="573"/>
      <c r="G924" s="574"/>
      <c r="H924" s="574"/>
      <c r="I924" s="574"/>
    </row>
    <row r="925" spans="1:9">
      <c r="A925" s="578"/>
      <c r="B925" s="576"/>
      <c r="C925" s="573"/>
      <c r="D925" s="573"/>
      <c r="E925" s="573"/>
      <c r="F925" s="573"/>
      <c r="G925" s="574"/>
      <c r="H925" s="574"/>
      <c r="I925" s="574"/>
    </row>
    <row r="926" spans="1:9">
      <c r="A926" s="578"/>
      <c r="B926" s="576"/>
      <c r="C926" s="573"/>
      <c r="D926" s="573"/>
      <c r="E926" s="573"/>
      <c r="F926" s="573"/>
      <c r="G926" s="574"/>
      <c r="H926" s="574"/>
      <c r="I926" s="574"/>
    </row>
    <row r="927" spans="1:9">
      <c r="A927" s="578"/>
      <c r="B927" s="576"/>
      <c r="C927" s="573"/>
      <c r="D927" s="573"/>
      <c r="E927" s="573"/>
      <c r="F927" s="573"/>
      <c r="G927" s="574"/>
      <c r="H927" s="574"/>
      <c r="I927" s="574"/>
    </row>
    <row r="928" spans="1:9">
      <c r="A928" s="578"/>
      <c r="B928" s="576"/>
      <c r="C928" s="573"/>
      <c r="D928" s="573"/>
      <c r="E928" s="573"/>
      <c r="F928" s="573"/>
      <c r="G928" s="574"/>
      <c r="H928" s="574"/>
      <c r="I928" s="574"/>
    </row>
    <row r="929" spans="1:9">
      <c r="A929" s="578"/>
      <c r="B929" s="576"/>
      <c r="C929" s="573"/>
      <c r="D929" s="573"/>
      <c r="E929" s="573"/>
      <c r="F929" s="573"/>
      <c r="G929" s="574"/>
      <c r="H929" s="574"/>
      <c r="I929" s="574"/>
    </row>
    <row r="930" spans="1:9">
      <c r="A930" s="578"/>
      <c r="B930" s="576"/>
      <c r="C930" s="573"/>
      <c r="D930" s="573"/>
      <c r="E930" s="573"/>
      <c r="F930" s="573"/>
      <c r="G930" s="574"/>
      <c r="H930" s="574"/>
      <c r="I930" s="574"/>
    </row>
    <row r="931" spans="1:9">
      <c r="A931" s="578"/>
      <c r="B931" s="576"/>
      <c r="C931" s="573"/>
      <c r="D931" s="573"/>
      <c r="E931" s="573"/>
      <c r="F931" s="573"/>
      <c r="G931" s="574"/>
      <c r="H931" s="574"/>
      <c r="I931" s="574"/>
    </row>
    <row r="932" spans="1:9">
      <c r="A932" s="578"/>
      <c r="B932" s="576"/>
      <c r="C932" s="573"/>
      <c r="D932" s="573"/>
      <c r="E932" s="573"/>
      <c r="F932" s="573"/>
      <c r="G932" s="574"/>
      <c r="H932" s="574"/>
      <c r="I932" s="574"/>
    </row>
    <row r="933" spans="1:9">
      <c r="A933" s="578"/>
      <c r="B933" s="576"/>
      <c r="C933" s="573"/>
      <c r="D933" s="573"/>
      <c r="E933" s="573"/>
      <c r="F933" s="573"/>
      <c r="G933" s="574"/>
      <c r="H933" s="574"/>
      <c r="I933" s="574"/>
    </row>
    <row r="934" spans="1:9">
      <c r="A934" s="578"/>
      <c r="B934" s="576"/>
      <c r="C934" s="573"/>
      <c r="D934" s="573"/>
      <c r="E934" s="573"/>
      <c r="F934" s="573"/>
      <c r="G934" s="574"/>
      <c r="H934" s="574"/>
      <c r="I934" s="574"/>
    </row>
    <row r="935" spans="1:9">
      <c r="A935" s="578"/>
      <c r="B935" s="576"/>
      <c r="C935" s="573"/>
      <c r="D935" s="573"/>
      <c r="E935" s="573"/>
      <c r="F935" s="573"/>
      <c r="G935" s="574"/>
      <c r="H935" s="574"/>
      <c r="I935" s="574"/>
    </row>
    <row r="936" spans="1:9">
      <c r="A936" s="578"/>
      <c r="B936" s="576"/>
      <c r="C936" s="573"/>
      <c r="D936" s="573"/>
      <c r="E936" s="573"/>
      <c r="F936" s="573"/>
      <c r="G936" s="574"/>
      <c r="H936" s="574"/>
      <c r="I936" s="574"/>
    </row>
    <row r="937" spans="1:9">
      <c r="A937" s="578"/>
      <c r="B937" s="576"/>
      <c r="C937" s="573"/>
      <c r="D937" s="573"/>
      <c r="E937" s="573"/>
      <c r="F937" s="573"/>
      <c r="G937" s="574"/>
      <c r="H937" s="574"/>
      <c r="I937" s="574"/>
    </row>
    <row r="938" spans="1:9">
      <c r="A938" s="578"/>
      <c r="B938" s="576"/>
      <c r="C938" s="573"/>
      <c r="D938" s="573"/>
      <c r="E938" s="573"/>
      <c r="F938" s="573"/>
      <c r="G938" s="574"/>
      <c r="H938" s="574"/>
      <c r="I938" s="574"/>
    </row>
    <row r="939" spans="1:9">
      <c r="A939" s="578"/>
      <c r="B939" s="576"/>
      <c r="C939" s="573"/>
      <c r="D939" s="573"/>
      <c r="E939" s="573"/>
      <c r="F939" s="573"/>
      <c r="G939" s="574"/>
      <c r="H939" s="574"/>
      <c r="I939" s="574"/>
    </row>
    <row r="940" spans="1:9">
      <c r="A940" s="572"/>
      <c r="B940" s="576"/>
      <c r="C940" s="573"/>
      <c r="D940" s="573"/>
      <c r="E940" s="573"/>
      <c r="F940" s="573"/>
      <c r="G940" s="574"/>
      <c r="H940" s="574"/>
      <c r="I940" s="574"/>
    </row>
    <row r="941" spans="1:9">
      <c r="A941" s="572"/>
      <c r="B941" s="576"/>
      <c r="C941" s="573"/>
      <c r="D941" s="573"/>
      <c r="E941" s="573"/>
      <c r="F941" s="573"/>
      <c r="G941" s="574"/>
      <c r="H941" s="574"/>
      <c r="I941" s="574"/>
    </row>
    <row r="942" spans="1:9">
      <c r="A942" s="572"/>
      <c r="B942" s="576"/>
      <c r="C942" s="576"/>
      <c r="D942" s="573"/>
      <c r="E942" s="573"/>
      <c r="F942" s="573"/>
      <c r="G942" s="574"/>
      <c r="H942" s="574"/>
      <c r="I942" s="574"/>
    </row>
    <row r="943" spans="1:9">
      <c r="A943" s="575"/>
      <c r="B943" s="576"/>
      <c r="C943" s="573"/>
      <c r="D943" s="573"/>
      <c r="E943" s="573"/>
      <c r="F943" s="573"/>
      <c r="G943" s="574"/>
      <c r="H943" s="574"/>
      <c r="I943" s="574"/>
    </row>
    <row r="944" spans="1:9">
      <c r="A944" s="584"/>
      <c r="B944" s="575"/>
      <c r="C944" s="573"/>
      <c r="D944" s="573"/>
      <c r="E944" s="573"/>
      <c r="F944" s="573"/>
      <c r="G944" s="574"/>
      <c r="H944" s="574"/>
      <c r="I944" s="574"/>
    </row>
    <row r="945" spans="1:9">
      <c r="A945" s="573"/>
      <c r="B945" s="573"/>
      <c r="C945" s="573"/>
      <c r="D945" s="573"/>
      <c r="E945" s="573"/>
      <c r="F945" s="573"/>
      <c r="G945" s="574"/>
      <c r="H945" s="574"/>
      <c r="I945" s="574"/>
    </row>
    <row r="946" spans="1:9">
      <c r="A946" s="573"/>
      <c r="B946" s="573"/>
      <c r="C946" s="573"/>
      <c r="D946" s="573"/>
      <c r="E946" s="573"/>
      <c r="F946" s="573"/>
      <c r="G946" s="574"/>
      <c r="H946" s="574"/>
      <c r="I946" s="574"/>
    </row>
    <row r="947" spans="1:9">
      <c r="A947" s="573"/>
      <c r="B947" s="573"/>
      <c r="C947" s="573"/>
      <c r="D947" s="573"/>
      <c r="E947" s="573"/>
      <c r="F947" s="573"/>
      <c r="G947" s="574"/>
      <c r="H947" s="574"/>
      <c r="I947" s="574"/>
    </row>
    <row r="948" spans="1:9">
      <c r="A948" s="577"/>
      <c r="B948" s="576"/>
      <c r="C948" s="573"/>
      <c r="D948" s="573"/>
      <c r="E948" s="573"/>
      <c r="F948" s="573"/>
      <c r="G948" s="574"/>
      <c r="H948" s="574"/>
      <c r="I948" s="574"/>
    </row>
    <row r="949" spans="1:9">
      <c r="A949" s="578"/>
      <c r="B949" s="576"/>
      <c r="C949" s="573"/>
      <c r="D949" s="573"/>
      <c r="E949" s="573"/>
      <c r="F949" s="573"/>
      <c r="G949" s="574"/>
      <c r="H949" s="574"/>
      <c r="I949" s="574"/>
    </row>
    <row r="950" spans="1:9">
      <c r="A950" s="575"/>
      <c r="B950" s="576"/>
      <c r="C950" s="573"/>
      <c r="D950" s="573"/>
      <c r="E950" s="573"/>
      <c r="F950" s="573"/>
      <c r="G950" s="574"/>
      <c r="H950" s="574"/>
      <c r="I950" s="574"/>
    </row>
    <row r="951" spans="1:9">
      <c r="A951" s="573"/>
      <c r="B951" s="573"/>
      <c r="C951" s="573"/>
      <c r="D951" s="573"/>
      <c r="E951" s="573"/>
      <c r="F951" s="573"/>
      <c r="G951" s="574"/>
      <c r="H951" s="574"/>
      <c r="I951" s="574"/>
    </row>
    <row r="952" spans="1:9">
      <c r="A952" s="573"/>
      <c r="B952" s="573"/>
      <c r="C952" s="573"/>
      <c r="D952" s="573"/>
      <c r="E952" s="573"/>
      <c r="F952" s="573"/>
      <c r="G952" s="574"/>
      <c r="H952" s="574"/>
      <c r="I952" s="574"/>
    </row>
    <row r="953" spans="1:9" ht="15.75">
      <c r="A953" s="596"/>
      <c r="B953" s="596"/>
      <c r="C953" s="596"/>
      <c r="D953" s="596"/>
      <c r="E953" s="596"/>
      <c r="F953" s="574"/>
      <c r="G953" s="574"/>
      <c r="H953" s="574"/>
      <c r="I953" s="574"/>
    </row>
    <row r="954" spans="1:9">
      <c r="A954" s="573"/>
      <c r="B954" s="573"/>
      <c r="C954" s="574"/>
      <c r="D954" s="574"/>
      <c r="E954" s="574"/>
      <c r="F954" s="574"/>
      <c r="G954" s="574"/>
      <c r="H954" s="574"/>
      <c r="I954" s="574"/>
    </row>
    <row r="955" spans="1:9">
      <c r="A955" s="584"/>
      <c r="B955" s="573"/>
      <c r="C955" s="574"/>
      <c r="D955" s="574"/>
      <c r="E955" s="574"/>
      <c r="F955" s="574"/>
      <c r="G955" s="574"/>
      <c r="H955" s="574"/>
      <c r="I955" s="574"/>
    </row>
    <row r="956" spans="1:9">
      <c r="A956" s="573"/>
      <c r="B956" s="573"/>
      <c r="C956" s="574"/>
      <c r="D956" s="574"/>
      <c r="E956" s="574"/>
      <c r="F956" s="574"/>
      <c r="G956" s="574"/>
      <c r="H956" s="574"/>
      <c r="I956" s="574"/>
    </row>
    <row r="957" spans="1:9">
      <c r="A957" s="574"/>
      <c r="B957" s="574"/>
      <c r="C957" s="574"/>
      <c r="D957" s="574"/>
      <c r="E957" s="574"/>
      <c r="F957" s="574"/>
      <c r="G957" s="574"/>
      <c r="H957" s="574"/>
      <c r="I957" s="574"/>
    </row>
    <row r="958" spans="1:9">
      <c r="A958" s="574"/>
      <c r="B958" s="574"/>
      <c r="C958" s="597"/>
      <c r="D958" s="597"/>
      <c r="E958" s="574"/>
      <c r="F958" s="574"/>
      <c r="G958" s="574"/>
      <c r="H958" s="574"/>
      <c r="I958" s="574"/>
    </row>
    <row r="959" spans="1:9">
      <c r="A959" s="574"/>
      <c r="B959" s="574"/>
      <c r="C959" s="597"/>
      <c r="D959" s="597"/>
      <c r="E959" s="574"/>
      <c r="F959" s="574"/>
      <c r="G959" s="574"/>
      <c r="H959" s="574"/>
      <c r="I959" s="574"/>
    </row>
    <row r="960" spans="1:9">
      <c r="A960" s="574"/>
      <c r="B960" s="574"/>
      <c r="C960" s="589"/>
      <c r="D960" s="589"/>
      <c r="E960" s="574"/>
      <c r="F960" s="574"/>
      <c r="G960" s="574"/>
      <c r="H960" s="574"/>
      <c r="I960" s="574"/>
    </row>
    <row r="961" spans="1:9">
      <c r="A961" s="597"/>
      <c r="B961" s="597"/>
      <c r="C961" s="589"/>
      <c r="D961" s="589"/>
      <c r="E961" s="574"/>
      <c r="F961" s="574"/>
      <c r="G961" s="574"/>
      <c r="H961" s="574"/>
      <c r="I961" s="574"/>
    </row>
    <row r="962" spans="1:9">
      <c r="A962" s="597"/>
      <c r="B962" s="597"/>
      <c r="C962" s="574"/>
      <c r="D962" s="574"/>
      <c r="E962" s="574"/>
      <c r="F962" s="574"/>
      <c r="G962" s="574"/>
      <c r="H962" s="574"/>
      <c r="I962" s="574"/>
    </row>
    <row r="963" spans="1:9">
      <c r="A963" s="589"/>
      <c r="B963" s="589"/>
      <c r="C963" s="574"/>
      <c r="D963" s="574"/>
      <c r="E963" s="574"/>
      <c r="F963" s="574"/>
      <c r="G963" s="574"/>
      <c r="H963" s="574"/>
      <c r="I963" s="574"/>
    </row>
    <row r="964" spans="1:9">
      <c r="A964" s="589"/>
      <c r="B964" s="589"/>
      <c r="C964" s="574"/>
      <c r="D964" s="574"/>
      <c r="E964" s="574"/>
      <c r="F964" s="574"/>
      <c r="G964" s="574"/>
      <c r="H964" s="574"/>
      <c r="I964" s="574"/>
    </row>
    <row r="965" spans="1:9">
      <c r="A965" s="574"/>
      <c r="B965" s="574"/>
      <c r="C965" s="574"/>
      <c r="D965" s="574"/>
      <c r="E965" s="574"/>
      <c r="F965" s="574"/>
      <c r="G965" s="574"/>
      <c r="H965" s="574"/>
      <c r="I965" s="574"/>
    </row>
    <row r="966" spans="1:9">
      <c r="A966" s="574"/>
      <c r="B966" s="574"/>
      <c r="C966" s="574"/>
      <c r="D966" s="574"/>
      <c r="E966" s="574"/>
      <c r="F966" s="574"/>
      <c r="G966" s="574"/>
      <c r="H966" s="574"/>
      <c r="I966" s="574"/>
    </row>
    <row r="967" spans="1:9">
      <c r="A967" s="574"/>
      <c r="B967" s="574"/>
      <c r="C967" s="574"/>
      <c r="D967" s="574"/>
      <c r="E967" s="574"/>
      <c r="F967" s="574"/>
      <c r="G967" s="574"/>
      <c r="H967" s="574"/>
      <c r="I967" s="574"/>
    </row>
    <row r="968" spans="1:9">
      <c r="A968" s="574"/>
      <c r="B968" s="574"/>
      <c r="C968" s="574"/>
      <c r="D968" s="574"/>
      <c r="E968" s="574"/>
      <c r="F968" s="574"/>
      <c r="G968" s="574"/>
      <c r="H968" s="574"/>
      <c r="I968" s="574"/>
    </row>
    <row r="969" spans="1:9">
      <c r="A969" s="574"/>
      <c r="B969" s="574"/>
      <c r="C969" s="574"/>
      <c r="D969" s="574"/>
      <c r="E969" s="574"/>
      <c r="F969" s="574"/>
      <c r="G969" s="574"/>
      <c r="H969" s="574"/>
      <c r="I969" s="574"/>
    </row>
    <row r="970" spans="1:9">
      <c r="A970" s="574"/>
      <c r="B970" s="574"/>
      <c r="C970" s="574"/>
      <c r="D970" s="574"/>
      <c r="E970" s="574"/>
      <c r="F970" s="574"/>
      <c r="G970" s="574"/>
      <c r="H970" s="574"/>
      <c r="I970" s="574"/>
    </row>
    <row r="971" spans="1:9">
      <c r="A971" s="574"/>
      <c r="B971" s="574"/>
      <c r="C971" s="574"/>
      <c r="D971" s="574"/>
      <c r="E971" s="574"/>
      <c r="F971" s="574"/>
      <c r="G971" s="574"/>
      <c r="H971" s="574"/>
      <c r="I971" s="574"/>
    </row>
    <row r="972" spans="1:9">
      <c r="A972" s="574"/>
      <c r="B972" s="574"/>
      <c r="C972" s="574"/>
      <c r="D972" s="574"/>
      <c r="E972" s="574"/>
      <c r="F972" s="574"/>
      <c r="G972" s="574"/>
      <c r="H972" s="574"/>
      <c r="I972" s="574"/>
    </row>
    <row r="973" spans="1:9">
      <c r="A973" s="574"/>
      <c r="B973" s="574"/>
      <c r="C973" s="574"/>
      <c r="D973" s="574"/>
      <c r="E973" s="574"/>
      <c r="F973" s="574"/>
      <c r="G973" s="574"/>
      <c r="H973" s="574"/>
      <c r="I973" s="574"/>
    </row>
    <row r="974" spans="1:9">
      <c r="A974" s="574"/>
      <c r="B974" s="574"/>
      <c r="C974" s="574"/>
      <c r="D974" s="574"/>
      <c r="E974" s="574"/>
      <c r="F974" s="574"/>
      <c r="G974" s="574"/>
      <c r="H974" s="574"/>
      <c r="I974" s="574"/>
    </row>
    <row r="975" spans="1:9">
      <c r="A975" s="574"/>
      <c r="B975" s="574"/>
      <c r="C975" s="574"/>
      <c r="D975" s="574"/>
      <c r="E975" s="574"/>
      <c r="F975" s="574"/>
      <c r="G975" s="574"/>
      <c r="H975" s="574"/>
      <c r="I975" s="574"/>
    </row>
    <row r="976" spans="1:9">
      <c r="A976" s="574"/>
      <c r="B976" s="574"/>
      <c r="C976" s="574"/>
      <c r="D976" s="574"/>
      <c r="E976" s="574"/>
      <c r="F976" s="574"/>
      <c r="G976" s="574"/>
      <c r="H976" s="574"/>
      <c r="I976" s="574"/>
    </row>
    <row r="977" spans="1:9">
      <c r="A977" s="574"/>
      <c r="B977" s="574"/>
      <c r="C977" s="574"/>
      <c r="D977" s="574"/>
      <c r="E977" s="574"/>
      <c r="F977" s="574"/>
      <c r="G977" s="574"/>
      <c r="H977" s="574"/>
      <c r="I977" s="574"/>
    </row>
    <row r="978" spans="1:9">
      <c r="A978" s="574"/>
      <c r="B978" s="574"/>
      <c r="C978" s="574"/>
      <c r="D978" s="574"/>
      <c r="E978" s="574"/>
      <c r="F978" s="574"/>
      <c r="G978" s="574"/>
      <c r="H978" s="574"/>
      <c r="I978" s="574"/>
    </row>
    <row r="979" spans="1:9">
      <c r="A979" s="574"/>
      <c r="B979" s="574"/>
      <c r="C979" s="574"/>
      <c r="D979" s="574"/>
      <c r="E979" s="574"/>
      <c r="F979" s="574"/>
      <c r="G979" s="574"/>
      <c r="H979" s="574"/>
      <c r="I979" s="574"/>
    </row>
    <row r="980" spans="1:9">
      <c r="A980" s="574"/>
      <c r="B980" s="574"/>
      <c r="C980" s="574"/>
      <c r="D980" s="574"/>
      <c r="E980" s="574"/>
      <c r="F980" s="574"/>
      <c r="G980" s="574"/>
      <c r="H980" s="574"/>
      <c r="I980" s="574"/>
    </row>
    <row r="981" spans="1:9">
      <c r="A981" s="574"/>
      <c r="B981" s="574"/>
      <c r="C981" s="584"/>
      <c r="D981" s="584"/>
      <c r="E981" s="584"/>
      <c r="F981" s="584"/>
      <c r="G981" s="574"/>
      <c r="H981" s="574"/>
      <c r="I981" s="574"/>
    </row>
    <row r="982" spans="1:9">
      <c r="A982" s="598"/>
      <c r="B982" s="574"/>
      <c r="C982" s="591"/>
      <c r="D982" s="591"/>
      <c r="E982" s="591"/>
      <c r="F982" s="591"/>
      <c r="G982" s="574"/>
      <c r="H982" s="574"/>
      <c r="I982" s="574"/>
    </row>
    <row r="983" spans="1:9">
      <c r="A983" s="574"/>
      <c r="B983" s="574"/>
      <c r="C983" s="578"/>
      <c r="D983" s="578"/>
      <c r="E983" s="578"/>
      <c r="F983" s="578"/>
      <c r="G983" s="574"/>
      <c r="H983" s="574"/>
      <c r="I983" s="574"/>
    </row>
    <row r="984" spans="1:9">
      <c r="A984" s="584"/>
      <c r="B984" s="584"/>
      <c r="C984" s="578"/>
      <c r="D984" s="578"/>
      <c r="E984" s="578"/>
      <c r="F984" s="578"/>
      <c r="G984" s="574"/>
      <c r="H984" s="574"/>
      <c r="I984" s="574"/>
    </row>
    <row r="985" spans="1:9">
      <c r="A985" s="591"/>
      <c r="B985" s="591"/>
      <c r="C985" s="578"/>
      <c r="D985" s="578"/>
      <c r="E985" s="578"/>
      <c r="F985" s="578"/>
      <c r="G985" s="574"/>
      <c r="H985" s="574"/>
      <c r="I985" s="574"/>
    </row>
    <row r="986" spans="1:9">
      <c r="A986" s="578"/>
      <c r="B986" s="578"/>
      <c r="C986" s="578"/>
      <c r="D986" s="578"/>
      <c r="E986" s="578"/>
      <c r="F986" s="578"/>
      <c r="G986" s="574"/>
      <c r="H986" s="574"/>
      <c r="I986" s="574"/>
    </row>
    <row r="987" spans="1:9">
      <c r="A987" s="578"/>
      <c r="B987" s="578"/>
      <c r="C987" s="578"/>
      <c r="D987" s="578"/>
      <c r="E987" s="578"/>
      <c r="F987" s="578"/>
      <c r="G987" s="574"/>
      <c r="H987" s="574"/>
      <c r="I987" s="574"/>
    </row>
    <row r="988" spans="1:9">
      <c r="A988" s="578"/>
      <c r="B988" s="578"/>
      <c r="C988" s="578"/>
      <c r="D988" s="578"/>
      <c r="E988" s="578"/>
      <c r="F988" s="578"/>
      <c r="G988" s="574"/>
      <c r="H988" s="574"/>
      <c r="I988" s="574"/>
    </row>
    <row r="989" spans="1:9">
      <c r="A989" s="578"/>
      <c r="B989" s="578"/>
      <c r="C989" s="578"/>
      <c r="D989" s="578"/>
      <c r="E989" s="578"/>
      <c r="F989" s="578"/>
      <c r="G989" s="574"/>
      <c r="H989" s="574"/>
      <c r="I989" s="574"/>
    </row>
    <row r="990" spans="1:9">
      <c r="A990" s="578"/>
      <c r="B990" s="578"/>
      <c r="C990" s="578"/>
      <c r="D990" s="578"/>
      <c r="E990" s="578"/>
      <c r="F990" s="578"/>
      <c r="G990" s="574"/>
      <c r="H990" s="574"/>
      <c r="I990" s="574"/>
    </row>
    <row r="991" spans="1:9">
      <c r="A991" s="578"/>
      <c r="B991" s="578"/>
      <c r="C991" s="578"/>
      <c r="D991" s="578"/>
      <c r="E991" s="578"/>
      <c r="F991" s="578"/>
      <c r="G991" s="574"/>
      <c r="H991" s="574"/>
      <c r="I991" s="574"/>
    </row>
    <row r="992" spans="1:9">
      <c r="A992" s="578"/>
      <c r="B992" s="578"/>
      <c r="C992" s="578"/>
      <c r="D992" s="578"/>
      <c r="E992" s="578"/>
      <c r="F992" s="578"/>
      <c r="G992" s="574"/>
      <c r="H992" s="574"/>
      <c r="I992" s="574"/>
    </row>
    <row r="993" spans="1:9">
      <c r="A993" s="578"/>
      <c r="B993" s="578"/>
      <c r="C993" s="578"/>
      <c r="D993" s="578"/>
      <c r="E993" s="578"/>
      <c r="F993" s="578"/>
      <c r="G993" s="574"/>
      <c r="H993" s="574"/>
      <c r="I993" s="574"/>
    </row>
    <row r="994" spans="1:9">
      <c r="A994" s="578"/>
      <c r="B994" s="578"/>
      <c r="C994" s="578"/>
      <c r="D994" s="578"/>
      <c r="E994" s="578"/>
      <c r="F994" s="578"/>
      <c r="G994" s="574"/>
      <c r="H994" s="574"/>
      <c r="I994" s="574"/>
    </row>
    <row r="995" spans="1:9">
      <c r="A995" s="578"/>
      <c r="B995" s="578"/>
      <c r="C995" s="578"/>
      <c r="D995" s="578"/>
      <c r="E995" s="578"/>
      <c r="F995" s="578"/>
      <c r="G995" s="574"/>
      <c r="H995" s="574"/>
      <c r="I995" s="574"/>
    </row>
    <row r="996" spans="1:9">
      <c r="A996" s="578"/>
      <c r="B996" s="578"/>
      <c r="C996" s="578"/>
      <c r="D996" s="578"/>
      <c r="E996" s="578"/>
      <c r="F996" s="578"/>
      <c r="G996" s="574"/>
      <c r="H996" s="574"/>
      <c r="I996" s="574"/>
    </row>
    <row r="997" spans="1:9">
      <c r="A997" s="578"/>
      <c r="B997" s="578"/>
      <c r="C997" s="578"/>
      <c r="D997" s="578"/>
      <c r="E997" s="578"/>
      <c r="F997" s="578"/>
      <c r="G997" s="574"/>
      <c r="H997" s="574"/>
      <c r="I997" s="574"/>
    </row>
    <row r="998" spans="1:9">
      <c r="A998" s="578"/>
      <c r="B998" s="578"/>
      <c r="C998" s="578"/>
      <c r="D998" s="578"/>
      <c r="E998" s="578"/>
      <c r="F998" s="578"/>
      <c r="G998" s="574"/>
      <c r="H998" s="574"/>
      <c r="I998" s="574"/>
    </row>
    <row r="999" spans="1:9">
      <c r="A999" s="578"/>
      <c r="B999" s="578"/>
      <c r="C999" s="578"/>
      <c r="D999" s="578"/>
      <c r="E999" s="578"/>
      <c r="F999" s="578"/>
      <c r="G999" s="574"/>
      <c r="H999" s="574"/>
      <c r="I999" s="574"/>
    </row>
    <row r="1000" spans="1:9">
      <c r="A1000" s="578"/>
      <c r="B1000" s="578"/>
      <c r="C1000" s="578"/>
      <c r="D1000" s="578"/>
      <c r="E1000" s="578"/>
      <c r="F1000" s="578"/>
      <c r="G1000" s="574"/>
      <c r="H1000" s="574"/>
      <c r="I1000" s="574"/>
    </row>
    <row r="1001" spans="1:9">
      <c r="A1001" s="578"/>
      <c r="B1001" s="578"/>
      <c r="C1001" s="578"/>
      <c r="D1001" s="578"/>
      <c r="E1001" s="578"/>
      <c r="F1001" s="578"/>
      <c r="G1001" s="574"/>
      <c r="H1001" s="574"/>
      <c r="I1001" s="574"/>
    </row>
    <row r="1002" spans="1:9">
      <c r="A1002" s="578"/>
      <c r="B1002" s="578"/>
      <c r="C1002" s="578"/>
      <c r="D1002" s="578"/>
      <c r="E1002" s="578"/>
      <c r="F1002" s="578"/>
      <c r="G1002" s="574"/>
      <c r="H1002" s="574"/>
      <c r="I1002" s="574"/>
    </row>
    <row r="1003" spans="1:9">
      <c r="A1003" s="578"/>
      <c r="B1003" s="578"/>
      <c r="C1003" s="578"/>
      <c r="D1003" s="578"/>
      <c r="E1003" s="578"/>
      <c r="F1003" s="578"/>
      <c r="G1003" s="574"/>
      <c r="H1003" s="574"/>
      <c r="I1003" s="574"/>
    </row>
    <row r="1004" spans="1:9">
      <c r="A1004" s="578"/>
      <c r="B1004" s="578"/>
      <c r="C1004" s="578"/>
      <c r="D1004" s="578"/>
      <c r="E1004" s="578"/>
      <c r="F1004" s="578"/>
      <c r="G1004" s="574"/>
      <c r="H1004" s="574"/>
      <c r="I1004" s="574"/>
    </row>
    <row r="1005" spans="1:9">
      <c r="A1005" s="578"/>
      <c r="B1005" s="578"/>
      <c r="C1005" s="578"/>
      <c r="D1005" s="578"/>
      <c r="E1005" s="578"/>
      <c r="F1005" s="578"/>
      <c r="G1005" s="574"/>
      <c r="H1005" s="574"/>
      <c r="I1005" s="574"/>
    </row>
    <row r="1006" spans="1:9">
      <c r="A1006" s="578"/>
      <c r="B1006" s="578"/>
      <c r="C1006" s="578"/>
      <c r="D1006" s="578"/>
      <c r="E1006" s="578"/>
      <c r="F1006" s="578"/>
      <c r="G1006" s="574"/>
      <c r="H1006" s="574"/>
      <c r="I1006" s="574"/>
    </row>
    <row r="1007" spans="1:9">
      <c r="A1007" s="578"/>
      <c r="B1007" s="578"/>
      <c r="C1007" s="578"/>
      <c r="D1007" s="578"/>
      <c r="E1007" s="578"/>
      <c r="F1007" s="578"/>
      <c r="G1007" s="574"/>
      <c r="H1007" s="574"/>
      <c r="I1007" s="574"/>
    </row>
    <row r="1008" spans="1:9">
      <c r="A1008" s="578"/>
      <c r="B1008" s="578"/>
      <c r="C1008" s="578"/>
      <c r="D1008" s="578"/>
      <c r="E1008" s="578"/>
      <c r="F1008" s="578"/>
      <c r="G1008" s="574"/>
      <c r="H1008" s="574"/>
      <c r="I1008" s="574"/>
    </row>
    <row r="1009" spans="1:9">
      <c r="A1009" s="578"/>
      <c r="B1009" s="578"/>
      <c r="C1009" s="578"/>
      <c r="D1009" s="578"/>
      <c r="E1009" s="578"/>
      <c r="F1009" s="578"/>
      <c r="G1009" s="574"/>
      <c r="H1009" s="574"/>
      <c r="I1009" s="574"/>
    </row>
    <row r="1010" spans="1:9">
      <c r="A1010" s="578"/>
      <c r="B1010" s="578"/>
      <c r="C1010" s="578"/>
      <c r="D1010" s="578"/>
      <c r="E1010" s="578"/>
      <c r="F1010" s="578"/>
      <c r="G1010" s="574"/>
      <c r="H1010" s="574"/>
      <c r="I1010" s="574"/>
    </row>
    <row r="1011" spans="1:9">
      <c r="A1011" s="578"/>
      <c r="B1011" s="578"/>
      <c r="C1011" s="578"/>
      <c r="D1011" s="578"/>
      <c r="E1011" s="578"/>
      <c r="F1011" s="578"/>
      <c r="G1011" s="574"/>
      <c r="H1011" s="574"/>
      <c r="I1011" s="574"/>
    </row>
    <row r="1012" spans="1:9">
      <c r="A1012" s="578"/>
      <c r="B1012" s="578"/>
      <c r="C1012" s="578"/>
      <c r="D1012" s="578"/>
      <c r="E1012" s="578"/>
      <c r="F1012" s="578"/>
      <c r="G1012" s="574"/>
      <c r="H1012" s="574"/>
      <c r="I1012" s="574"/>
    </row>
    <row r="1013" spans="1:9">
      <c r="A1013" s="578"/>
      <c r="B1013" s="578"/>
      <c r="C1013" s="578"/>
      <c r="D1013" s="578"/>
      <c r="E1013" s="578"/>
      <c r="F1013" s="578"/>
      <c r="G1013" s="574"/>
      <c r="H1013" s="574"/>
      <c r="I1013" s="574"/>
    </row>
    <row r="1014" spans="1:9">
      <c r="A1014" s="578"/>
      <c r="B1014" s="578"/>
      <c r="C1014" s="578"/>
      <c r="D1014" s="578"/>
      <c r="E1014" s="578"/>
      <c r="F1014" s="578"/>
      <c r="G1014" s="574"/>
      <c r="H1014" s="574"/>
      <c r="I1014" s="574"/>
    </row>
    <row r="1015" spans="1:9">
      <c r="A1015" s="578"/>
      <c r="B1015" s="578"/>
      <c r="C1015" s="578"/>
      <c r="D1015" s="578"/>
      <c r="E1015" s="578"/>
      <c r="F1015" s="578"/>
      <c r="G1015" s="574"/>
      <c r="H1015" s="574"/>
      <c r="I1015" s="574"/>
    </row>
    <row r="1016" spans="1:9">
      <c r="A1016" s="578"/>
      <c r="B1016" s="578"/>
      <c r="C1016" s="578"/>
      <c r="D1016" s="578"/>
      <c r="E1016" s="578"/>
      <c r="F1016" s="578"/>
      <c r="G1016" s="574"/>
      <c r="H1016" s="574"/>
      <c r="I1016" s="574"/>
    </row>
    <row r="1017" spans="1:9">
      <c r="A1017" s="578"/>
      <c r="B1017" s="578"/>
      <c r="C1017" s="578"/>
      <c r="D1017" s="578"/>
      <c r="E1017" s="578"/>
      <c r="F1017" s="578"/>
      <c r="G1017" s="574"/>
      <c r="H1017" s="574"/>
      <c r="I1017" s="574"/>
    </row>
    <row r="1018" spans="1:9">
      <c r="A1018" s="591"/>
      <c r="B1018" s="578"/>
      <c r="C1018" s="578"/>
      <c r="D1018" s="578"/>
      <c r="E1018" s="578"/>
      <c r="F1018" s="578"/>
      <c r="G1018" s="574"/>
      <c r="H1018" s="574"/>
      <c r="I1018" s="574"/>
    </row>
    <row r="1019" spans="1:9">
      <c r="A1019" s="591"/>
      <c r="B1019" s="578"/>
      <c r="C1019" s="578"/>
      <c r="D1019" s="578"/>
      <c r="E1019" s="578"/>
      <c r="F1019" s="578"/>
      <c r="G1019" s="574"/>
      <c r="H1019" s="574"/>
      <c r="I1019" s="574"/>
    </row>
    <row r="1020" spans="1:9">
      <c r="A1020" s="578"/>
      <c r="B1020" s="578"/>
      <c r="C1020" s="578"/>
      <c r="D1020" s="578"/>
      <c r="E1020" s="578"/>
      <c r="F1020" s="578"/>
      <c r="G1020" s="574"/>
      <c r="H1020" s="574"/>
      <c r="I1020" s="574"/>
    </row>
    <row r="1021" spans="1:9">
      <c r="A1021" s="578"/>
      <c r="B1021" s="578"/>
      <c r="C1021" s="599"/>
      <c r="D1021" s="578"/>
      <c r="E1021" s="578"/>
      <c r="F1021" s="578"/>
      <c r="G1021" s="574"/>
      <c r="H1021" s="574"/>
      <c r="I1021" s="574"/>
    </row>
    <row r="1022" spans="1:9">
      <c r="A1022" s="578"/>
      <c r="B1022" s="578"/>
      <c r="C1022" s="573"/>
      <c r="D1022" s="573"/>
      <c r="E1022" s="573"/>
      <c r="F1022" s="575"/>
      <c r="G1022" s="576"/>
      <c r="H1022" s="574"/>
      <c r="I1022" s="574"/>
    </row>
    <row r="1023" spans="1:9">
      <c r="A1023" s="578"/>
      <c r="B1023" s="578"/>
      <c r="C1023" s="574"/>
      <c r="D1023" s="574"/>
      <c r="E1023" s="574"/>
      <c r="F1023" s="574"/>
      <c r="G1023" s="574"/>
      <c r="H1023" s="574"/>
      <c r="I1023" s="574"/>
    </row>
    <row r="1024" spans="1:9">
      <c r="A1024" s="599"/>
      <c r="B1024" s="599"/>
      <c r="C1024" s="598"/>
      <c r="D1024" s="598"/>
      <c r="E1024" s="598"/>
      <c r="F1024" s="598"/>
      <c r="G1024" s="574"/>
      <c r="H1024" s="574"/>
      <c r="I1024" s="574"/>
    </row>
    <row r="1025" spans="1:10">
      <c r="A1025" s="573"/>
      <c r="B1025" s="573"/>
      <c r="C1025" s="600"/>
      <c r="D1025" s="600"/>
      <c r="E1025" s="600"/>
      <c r="F1025" s="600"/>
      <c r="G1025" s="574"/>
      <c r="H1025" s="574"/>
      <c r="I1025" s="574"/>
    </row>
    <row r="1026" spans="1:10">
      <c r="A1026" s="574"/>
      <c r="B1026" s="574"/>
      <c r="C1026" s="600"/>
      <c r="D1026" s="600"/>
      <c r="E1026" s="600"/>
      <c r="F1026" s="600"/>
      <c r="G1026" s="574"/>
      <c r="H1026" s="574"/>
      <c r="I1026" s="574"/>
    </row>
    <row r="1027" spans="1:10">
      <c r="A1027" s="598"/>
      <c r="B1027" s="598"/>
      <c r="C1027" s="601"/>
      <c r="D1027" s="601"/>
      <c r="E1027" s="601"/>
      <c r="F1027" s="601"/>
      <c r="G1027" s="574"/>
      <c r="H1027" s="574"/>
      <c r="I1027" s="574"/>
    </row>
    <row r="1028" spans="1:10">
      <c r="A1028" s="600"/>
      <c r="B1028" s="600"/>
      <c r="C1028" s="601"/>
      <c r="D1028" s="601"/>
      <c r="E1028" s="601"/>
      <c r="F1028" s="601"/>
      <c r="G1028" s="574"/>
      <c r="H1028" s="574"/>
      <c r="I1028" s="574"/>
    </row>
    <row r="1029" spans="1:10">
      <c r="A1029" s="600"/>
      <c r="B1029" s="600"/>
      <c r="C1029" s="601"/>
      <c r="D1029" s="601"/>
      <c r="E1029" s="601"/>
      <c r="F1029" s="601"/>
      <c r="G1029" s="574"/>
      <c r="H1029" s="574"/>
      <c r="I1029" s="574"/>
    </row>
    <row r="1030" spans="1:10">
      <c r="A1030" s="591"/>
      <c r="B1030" s="591"/>
      <c r="C1030" s="601"/>
      <c r="D1030" s="601"/>
      <c r="E1030" s="601"/>
      <c r="F1030" s="601"/>
      <c r="G1030" s="574"/>
      <c r="H1030" s="574"/>
      <c r="I1030" s="574"/>
    </row>
    <row r="1031" spans="1:10">
      <c r="A1031" s="602"/>
      <c r="B1031" s="578"/>
      <c r="C1031" s="601"/>
      <c r="D1031" s="601"/>
      <c r="E1031" s="601"/>
      <c r="F1031" s="601"/>
      <c r="G1031" s="574"/>
      <c r="H1031" s="574"/>
      <c r="I1031" s="574"/>
    </row>
    <row r="1032" spans="1:10">
      <c r="A1032" s="602"/>
      <c r="B1032" s="578"/>
      <c r="C1032" s="601"/>
      <c r="D1032" s="601"/>
      <c r="E1032" s="601"/>
      <c r="F1032" s="601"/>
      <c r="G1032" s="574"/>
      <c r="H1032" s="574"/>
      <c r="I1032" s="574"/>
    </row>
    <row r="1033" spans="1:10">
      <c r="A1033" s="591"/>
      <c r="B1033" s="578"/>
      <c r="C1033" s="601"/>
      <c r="D1033" s="601"/>
      <c r="E1033" s="601"/>
      <c r="F1033" s="601"/>
      <c r="G1033" s="574"/>
      <c r="H1033" s="574"/>
      <c r="I1033" s="574"/>
    </row>
    <row r="1034" spans="1:10">
      <c r="A1034" s="591"/>
      <c r="B1034" s="578"/>
      <c r="C1034" s="601"/>
      <c r="D1034" s="601"/>
      <c r="E1034" s="601"/>
      <c r="F1034" s="601"/>
      <c r="G1034" s="574"/>
      <c r="H1034" s="574"/>
      <c r="I1034" s="574"/>
    </row>
    <row r="1035" spans="1:10">
      <c r="A1035" s="591"/>
      <c r="B1035" s="578"/>
      <c r="C1035" s="601"/>
      <c r="D1035" s="601"/>
      <c r="E1035" s="601"/>
      <c r="F1035" s="601"/>
      <c r="G1035" s="574"/>
      <c r="H1035" s="574"/>
      <c r="I1035" s="574"/>
    </row>
    <row r="1036" spans="1:10">
      <c r="A1036" s="591"/>
      <c r="B1036" s="578"/>
      <c r="C1036" s="601"/>
      <c r="D1036" s="601"/>
      <c r="E1036" s="601"/>
      <c r="F1036" s="601"/>
      <c r="G1036" s="574"/>
      <c r="H1036" s="574"/>
      <c r="I1036" s="574"/>
    </row>
    <row r="1037" spans="1:10">
      <c r="A1037" s="591"/>
      <c r="B1037" s="578"/>
      <c r="C1037" s="601"/>
      <c r="D1037" s="601"/>
      <c r="E1037" s="601"/>
      <c r="F1037" s="601"/>
      <c r="G1037" s="574"/>
      <c r="H1037" s="574"/>
      <c r="I1037" s="574"/>
    </row>
    <row r="1038" spans="1:10">
      <c r="A1038" s="602"/>
      <c r="B1038" s="578"/>
      <c r="C1038" s="601"/>
      <c r="D1038" s="601"/>
      <c r="E1038" s="601"/>
      <c r="F1038" s="601"/>
      <c r="G1038" s="574"/>
      <c r="H1038" s="574"/>
      <c r="I1038" s="574"/>
    </row>
    <row r="1039" spans="1:10">
      <c r="A1039" s="602"/>
      <c r="B1039" s="578"/>
      <c r="C1039" s="576"/>
      <c r="D1039" s="601"/>
      <c r="E1039" s="601"/>
      <c r="F1039" s="601"/>
      <c r="G1039" s="574"/>
      <c r="H1039" s="574"/>
      <c r="I1039" s="574"/>
      <c r="J1039" s="574"/>
    </row>
    <row r="1040" spans="1:10">
      <c r="A1040" s="591"/>
      <c r="B1040" s="578"/>
      <c r="C1040" s="601"/>
      <c r="D1040" s="601"/>
      <c r="E1040" s="601"/>
      <c r="F1040" s="601"/>
      <c r="G1040" s="574"/>
      <c r="H1040" s="574"/>
      <c r="I1040" s="574"/>
      <c r="J1040" s="574"/>
    </row>
    <row r="1041" spans="1:10">
      <c r="A1041" s="591"/>
      <c r="B1041" s="578"/>
      <c r="C1041" s="603"/>
      <c r="D1041" s="603"/>
      <c r="E1041" s="603"/>
      <c r="F1041" s="603"/>
      <c r="G1041" s="574"/>
      <c r="H1041" s="574"/>
      <c r="I1041" s="574"/>
      <c r="J1041" s="574"/>
    </row>
    <row r="1042" spans="1:10">
      <c r="A1042" s="578"/>
      <c r="B1042" s="575"/>
      <c r="C1042" s="603"/>
      <c r="D1042" s="603"/>
      <c r="E1042" s="603"/>
      <c r="F1042" s="603"/>
      <c r="G1042" s="574"/>
      <c r="H1042" s="574"/>
      <c r="I1042" s="574"/>
      <c r="J1042" s="574"/>
    </row>
    <row r="1043" spans="1:10">
      <c r="A1043" s="578"/>
      <c r="B1043" s="601"/>
      <c r="C1043" s="601"/>
      <c r="D1043" s="601"/>
      <c r="E1043" s="601"/>
      <c r="F1043" s="601"/>
      <c r="G1043" s="574"/>
      <c r="H1043" s="574"/>
      <c r="I1043" s="574"/>
      <c r="J1043" s="574"/>
    </row>
    <row r="1044" spans="1:10">
      <c r="A1044" s="603"/>
      <c r="B1044" s="603"/>
      <c r="C1044" s="575"/>
      <c r="D1044" s="576"/>
      <c r="E1044" s="601"/>
      <c r="F1044" s="601"/>
      <c r="G1044" s="574"/>
      <c r="H1044" s="574"/>
      <c r="I1044" s="574"/>
    </row>
    <row r="1045" spans="1:10">
      <c r="A1045" s="603"/>
      <c r="B1045" s="603"/>
      <c r="C1045" s="574"/>
      <c r="D1045" s="574"/>
      <c r="E1045" s="601"/>
      <c r="F1045" s="601"/>
      <c r="G1045" s="574"/>
      <c r="H1045" s="574"/>
      <c r="I1045" s="574"/>
      <c r="J1045" s="574"/>
    </row>
    <row r="1046" spans="1:10">
      <c r="A1046" s="601"/>
      <c r="B1046" s="601"/>
      <c r="C1046" s="604"/>
      <c r="D1046" s="604"/>
      <c r="E1046" s="604"/>
      <c r="F1046" s="601"/>
      <c r="G1046" s="574"/>
      <c r="H1046" s="574"/>
      <c r="I1046" s="574"/>
      <c r="J1046" s="574"/>
    </row>
    <row r="1047" spans="1:10">
      <c r="A1047" s="604"/>
      <c r="B1047" s="604"/>
      <c r="C1047" s="591"/>
      <c r="D1047" s="605"/>
      <c r="E1047" s="591"/>
      <c r="F1047" s="601"/>
      <c r="G1047" s="574"/>
      <c r="H1047" s="574"/>
      <c r="I1047" s="574"/>
      <c r="J1047" s="574"/>
    </row>
    <row r="1048" spans="1:10">
      <c r="A1048" s="601"/>
      <c r="B1048" s="574"/>
      <c r="C1048" s="578"/>
      <c r="D1048" s="578"/>
      <c r="E1048" s="578"/>
      <c r="F1048" s="601"/>
      <c r="G1048" s="574"/>
      <c r="H1048" s="574"/>
      <c r="I1048" s="574"/>
      <c r="J1048" s="574"/>
    </row>
    <row r="1049" spans="1:10">
      <c r="A1049" s="604"/>
      <c r="B1049" s="604"/>
      <c r="C1049" s="578"/>
      <c r="D1049" s="578"/>
      <c r="E1049" s="578"/>
      <c r="F1049" s="601"/>
      <c r="G1049" s="574"/>
      <c r="H1049" s="574"/>
      <c r="I1049" s="574"/>
      <c r="J1049" s="574"/>
    </row>
    <row r="1050" spans="1:10">
      <c r="A1050" s="591"/>
      <c r="B1050" s="591"/>
      <c r="C1050" s="578"/>
      <c r="D1050" s="578"/>
      <c r="E1050" s="578"/>
      <c r="F1050" s="601"/>
      <c r="G1050" s="574"/>
      <c r="H1050" s="574"/>
      <c r="I1050" s="574"/>
      <c r="J1050" s="574"/>
    </row>
    <row r="1051" spans="1:10">
      <c r="A1051" s="578"/>
      <c r="B1051" s="578"/>
      <c r="C1051" s="578"/>
      <c r="D1051" s="578"/>
      <c r="E1051" s="578"/>
      <c r="F1051" s="601"/>
      <c r="G1051" s="574"/>
      <c r="H1051" s="574"/>
      <c r="I1051" s="574"/>
      <c r="J1051" s="574"/>
    </row>
    <row r="1052" spans="1:10">
      <c r="A1052" s="578"/>
      <c r="B1052" s="578"/>
      <c r="C1052" s="578"/>
      <c r="D1052" s="578"/>
      <c r="E1052" s="578"/>
      <c r="F1052" s="601"/>
      <c r="G1052" s="574"/>
      <c r="H1052" s="574"/>
      <c r="I1052" s="574"/>
      <c r="J1052" s="574"/>
    </row>
    <row r="1053" spans="1:10">
      <c r="A1053" s="578"/>
      <c r="B1053" s="578"/>
      <c r="C1053" s="578"/>
      <c r="D1053" s="578"/>
      <c r="E1053" s="578"/>
      <c r="F1053" s="601"/>
      <c r="G1053" s="574"/>
      <c r="H1053" s="574"/>
      <c r="I1053" s="574"/>
      <c r="J1053" s="574"/>
    </row>
    <row r="1054" spans="1:10">
      <c r="A1054" s="578"/>
      <c r="B1054" s="578"/>
      <c r="C1054" s="578"/>
      <c r="D1054" s="578"/>
      <c r="E1054" s="578"/>
      <c r="F1054" s="601"/>
      <c r="G1054" s="574"/>
      <c r="H1054" s="574"/>
      <c r="I1054" s="574"/>
      <c r="J1054" s="574"/>
    </row>
    <row r="1055" spans="1:10">
      <c r="A1055" s="578"/>
      <c r="B1055" s="578"/>
      <c r="C1055" s="578"/>
      <c r="D1055" s="578"/>
      <c r="E1055" s="578"/>
      <c r="F1055" s="601"/>
      <c r="G1055" s="574"/>
      <c r="H1055" s="574"/>
      <c r="I1055" s="574"/>
      <c r="J1055" s="574"/>
    </row>
    <row r="1056" spans="1:10">
      <c r="A1056" s="578"/>
      <c r="B1056" s="578"/>
      <c r="C1056" s="578"/>
      <c r="D1056" s="578"/>
      <c r="E1056" s="578"/>
      <c r="F1056" s="601"/>
      <c r="G1056" s="574"/>
      <c r="H1056" s="574"/>
      <c r="I1056" s="574"/>
      <c r="J1056" s="574"/>
    </row>
    <row r="1057" spans="1:10">
      <c r="A1057" s="578"/>
      <c r="B1057" s="578"/>
      <c r="C1057" s="578"/>
      <c r="D1057" s="578"/>
      <c r="E1057" s="578"/>
      <c r="F1057" s="601"/>
      <c r="G1057" s="574"/>
      <c r="H1057" s="574"/>
      <c r="I1057" s="574"/>
      <c r="J1057" s="574"/>
    </row>
    <row r="1058" spans="1:10">
      <c r="A1058" s="578"/>
      <c r="B1058" s="578"/>
      <c r="C1058" s="578"/>
      <c r="D1058" s="578"/>
      <c r="E1058" s="578"/>
      <c r="F1058" s="601"/>
      <c r="G1058" s="574"/>
      <c r="H1058" s="574"/>
      <c r="I1058" s="574"/>
      <c r="J1058" s="574"/>
    </row>
    <row r="1059" spans="1:10">
      <c r="A1059" s="578"/>
      <c r="B1059" s="578"/>
      <c r="C1059" s="578"/>
      <c r="D1059" s="578"/>
      <c r="E1059" s="578"/>
      <c r="F1059" s="601"/>
      <c r="G1059" s="574"/>
      <c r="H1059" s="574"/>
      <c r="I1059" s="574"/>
      <c r="J1059" s="574"/>
    </row>
    <row r="1060" spans="1:10">
      <c r="A1060" s="578"/>
      <c r="B1060" s="578"/>
      <c r="C1060" s="578"/>
      <c r="D1060" s="578"/>
      <c r="E1060" s="578"/>
      <c r="F1060" s="601"/>
      <c r="G1060" s="574"/>
      <c r="H1060" s="574"/>
      <c r="I1060" s="574"/>
      <c r="J1060" s="574"/>
    </row>
    <row r="1061" spans="1:10">
      <c r="A1061" s="578"/>
      <c r="B1061" s="578"/>
      <c r="C1061" s="578"/>
      <c r="D1061" s="578"/>
      <c r="E1061" s="578"/>
      <c r="F1061" s="601"/>
      <c r="G1061" s="574"/>
      <c r="H1061" s="574"/>
      <c r="I1061" s="574"/>
      <c r="J1061" s="574"/>
    </row>
    <row r="1062" spans="1:10">
      <c r="A1062" s="578"/>
      <c r="B1062" s="578"/>
      <c r="C1062" s="578"/>
      <c r="D1062" s="578"/>
      <c r="E1062" s="578"/>
      <c r="F1062" s="601"/>
      <c r="G1062" s="574"/>
      <c r="H1062" s="574"/>
      <c r="I1062" s="574"/>
      <c r="J1062" s="574"/>
    </row>
    <row r="1063" spans="1:10">
      <c r="A1063" s="578"/>
      <c r="B1063" s="578"/>
      <c r="C1063" s="601"/>
      <c r="D1063" s="601"/>
      <c r="E1063" s="606"/>
      <c r="F1063" s="607"/>
      <c r="G1063" s="574"/>
      <c r="H1063" s="574"/>
      <c r="I1063" s="574"/>
      <c r="J1063" s="574"/>
    </row>
    <row r="1064" spans="1:10">
      <c r="A1064" s="578"/>
      <c r="B1064" s="578"/>
      <c r="C1064" s="601"/>
      <c r="D1064" s="601"/>
      <c r="E1064" s="601"/>
      <c r="F1064" s="601"/>
      <c r="G1064" s="574"/>
      <c r="H1064" s="574"/>
      <c r="I1064" s="574"/>
      <c r="J1064" s="574"/>
    </row>
    <row r="1065" spans="1:10">
      <c r="A1065" s="578"/>
      <c r="B1065" s="578"/>
      <c r="C1065" s="572"/>
      <c r="D1065" s="579"/>
      <c r="E1065" s="575"/>
      <c r="F1065" s="576"/>
      <c r="G1065" s="574"/>
      <c r="H1065" s="574"/>
      <c r="I1065" s="574"/>
    </row>
    <row r="1066" spans="1:10">
      <c r="A1066" s="601"/>
      <c r="B1066" s="601"/>
      <c r="C1066" s="575"/>
      <c r="D1066" s="576"/>
      <c r="E1066" s="601"/>
      <c r="F1066" s="601"/>
      <c r="G1066" s="574"/>
      <c r="H1066" s="574"/>
      <c r="I1066" s="574"/>
    </row>
    <row r="1067" spans="1:10">
      <c r="A1067" s="601"/>
      <c r="B1067" s="601"/>
      <c r="C1067" s="575"/>
      <c r="D1067" s="576"/>
      <c r="E1067" s="601"/>
      <c r="F1067" s="601"/>
      <c r="G1067" s="574"/>
      <c r="H1067" s="574"/>
      <c r="I1067" s="574"/>
    </row>
    <row r="1068" spans="1:10">
      <c r="A1068" s="578"/>
      <c r="B1068" s="591"/>
      <c r="C1068" s="600"/>
      <c r="D1068" s="600"/>
      <c r="E1068" s="600"/>
      <c r="F1068" s="600"/>
      <c r="G1068" s="574"/>
      <c r="H1068" s="574"/>
      <c r="I1068" s="574"/>
    </row>
    <row r="1069" spans="1:10">
      <c r="A1069" s="591"/>
      <c r="B1069" s="591"/>
      <c r="C1069" s="600"/>
      <c r="D1069" s="600"/>
      <c r="E1069" s="600"/>
      <c r="F1069" s="600"/>
      <c r="G1069" s="574"/>
      <c r="H1069" s="574"/>
      <c r="I1069" s="574"/>
    </row>
    <row r="1070" spans="1:10">
      <c r="A1070" s="591"/>
      <c r="B1070" s="591"/>
      <c r="C1070" s="591"/>
      <c r="D1070" s="600"/>
      <c r="E1070" s="600"/>
      <c r="F1070" s="600"/>
      <c r="G1070" s="574"/>
      <c r="H1070" s="574"/>
      <c r="I1070" s="574"/>
    </row>
    <row r="1071" spans="1:10">
      <c r="A1071" s="600"/>
      <c r="B1071" s="600"/>
      <c r="C1071" s="578"/>
      <c r="D1071" s="600"/>
      <c r="E1071" s="600"/>
      <c r="F1071" s="600"/>
      <c r="G1071" s="574"/>
      <c r="H1071" s="574"/>
      <c r="I1071" s="574"/>
    </row>
    <row r="1072" spans="1:10">
      <c r="A1072" s="600"/>
      <c r="B1072" s="600"/>
      <c r="C1072" s="578"/>
      <c r="D1072" s="600"/>
      <c r="E1072" s="600"/>
      <c r="F1072" s="600"/>
      <c r="G1072" s="574"/>
      <c r="H1072" s="574"/>
      <c r="I1072" s="574"/>
    </row>
    <row r="1073" spans="1:10">
      <c r="A1073" s="591"/>
      <c r="B1073" s="591"/>
      <c r="C1073" s="578"/>
      <c r="D1073" s="600"/>
      <c r="E1073" s="600"/>
      <c r="F1073" s="600"/>
      <c r="G1073" s="574"/>
      <c r="H1073" s="574"/>
      <c r="I1073" s="574"/>
    </row>
    <row r="1074" spans="1:10">
      <c r="A1074" s="578"/>
      <c r="B1074" s="578"/>
      <c r="C1074" s="578"/>
      <c r="D1074" s="600"/>
      <c r="E1074" s="600"/>
      <c r="F1074" s="600"/>
      <c r="G1074" s="574"/>
      <c r="H1074" s="574"/>
      <c r="I1074" s="574"/>
    </row>
    <row r="1075" spans="1:10">
      <c r="A1075" s="578"/>
      <c r="B1075" s="578"/>
      <c r="C1075" s="578"/>
      <c r="D1075" s="600"/>
      <c r="E1075" s="600"/>
      <c r="F1075" s="600"/>
      <c r="G1075" s="574"/>
      <c r="H1075" s="574"/>
      <c r="I1075" s="574"/>
    </row>
    <row r="1076" spans="1:10">
      <c r="A1076" s="578"/>
      <c r="B1076" s="578"/>
      <c r="C1076" s="578"/>
      <c r="D1076" s="600"/>
      <c r="E1076" s="600"/>
      <c r="F1076" s="600"/>
      <c r="G1076" s="574"/>
      <c r="H1076" s="574"/>
      <c r="I1076" s="574"/>
    </row>
    <row r="1077" spans="1:10">
      <c r="A1077" s="578"/>
      <c r="B1077" s="578"/>
      <c r="C1077" s="575"/>
      <c r="D1077" s="576"/>
      <c r="E1077" s="600"/>
      <c r="F1077" s="600"/>
      <c r="G1077" s="574"/>
      <c r="H1077" s="574"/>
      <c r="I1077" s="574"/>
      <c r="J1077" s="570"/>
    </row>
    <row r="1078" spans="1:10">
      <c r="A1078" s="578"/>
      <c r="B1078" s="578"/>
      <c r="C1078" s="578"/>
      <c r="D1078" s="601"/>
      <c r="E1078" s="601"/>
      <c r="F1078" s="601"/>
      <c r="G1078" s="574"/>
      <c r="H1078" s="574"/>
      <c r="I1078" s="574"/>
      <c r="J1078" s="570"/>
    </row>
    <row r="1079" spans="1:10">
      <c r="A1079" s="578"/>
      <c r="B1079" s="578"/>
      <c r="C1079" s="598"/>
      <c r="D1079" s="598"/>
      <c r="E1079" s="598"/>
      <c r="F1079" s="601"/>
      <c r="G1079" s="574"/>
      <c r="H1079" s="574"/>
      <c r="I1079" s="574"/>
    </row>
    <row r="1080" spans="1:10">
      <c r="A1080" s="600"/>
      <c r="B1080" s="578"/>
      <c r="C1080" s="603"/>
      <c r="D1080" s="603"/>
      <c r="E1080" s="603"/>
      <c r="F1080" s="603"/>
      <c r="G1080" s="574"/>
      <c r="H1080" s="574"/>
      <c r="I1080" s="574"/>
    </row>
    <row r="1081" spans="1:10">
      <c r="A1081" s="601"/>
      <c r="B1081" s="578"/>
      <c r="C1081" s="603"/>
      <c r="D1081" s="603"/>
      <c r="E1081" s="603"/>
      <c r="F1081" s="603"/>
      <c r="G1081" s="574"/>
      <c r="H1081" s="574"/>
      <c r="I1081" s="574"/>
    </row>
    <row r="1082" spans="1:10">
      <c r="A1082" s="598"/>
      <c r="B1082" s="598"/>
      <c r="C1082" s="601"/>
      <c r="D1082" s="601"/>
      <c r="E1082" s="601"/>
      <c r="F1082" s="601"/>
      <c r="G1082" s="574"/>
      <c r="H1082" s="574"/>
      <c r="I1082" s="574"/>
    </row>
    <row r="1083" spans="1:10">
      <c r="A1083" s="603"/>
      <c r="B1083" s="603"/>
      <c r="C1083" s="591"/>
      <c r="D1083" s="591"/>
      <c r="E1083" s="591"/>
      <c r="F1083" s="601"/>
      <c r="G1083" s="574"/>
      <c r="H1083" s="574"/>
      <c r="I1083" s="574"/>
    </row>
    <row r="1084" spans="1:10">
      <c r="A1084" s="603"/>
      <c r="B1084" s="603"/>
      <c r="C1084" s="578"/>
      <c r="D1084" s="578"/>
      <c r="E1084" s="578"/>
      <c r="F1084" s="601"/>
      <c r="G1084" s="574"/>
      <c r="H1084" s="574"/>
      <c r="I1084" s="574"/>
    </row>
    <row r="1085" spans="1:10">
      <c r="A1085" s="591"/>
      <c r="B1085" s="591"/>
      <c r="C1085" s="578"/>
      <c r="D1085" s="578"/>
      <c r="E1085" s="578"/>
      <c r="F1085" s="601"/>
      <c r="G1085" s="574"/>
      <c r="H1085" s="574"/>
      <c r="I1085" s="574"/>
    </row>
    <row r="1086" spans="1:10">
      <c r="A1086" s="591"/>
      <c r="B1086" s="605"/>
      <c r="C1086" s="578"/>
      <c r="D1086" s="578"/>
      <c r="E1086" s="578"/>
      <c r="F1086" s="601"/>
      <c r="G1086" s="574"/>
      <c r="H1086" s="574"/>
      <c r="I1086" s="574"/>
    </row>
    <row r="1087" spans="1:10">
      <c r="A1087" s="578"/>
      <c r="B1087" s="578"/>
      <c r="C1087" s="578"/>
      <c r="D1087" s="578"/>
      <c r="E1087" s="578"/>
      <c r="F1087" s="601"/>
      <c r="G1087" s="574"/>
      <c r="H1087" s="574"/>
      <c r="I1087" s="574"/>
    </row>
    <row r="1088" spans="1:10">
      <c r="A1088" s="578"/>
      <c r="B1088" s="578"/>
      <c r="C1088" s="578"/>
      <c r="D1088" s="578"/>
      <c r="E1088" s="578"/>
      <c r="F1088" s="601"/>
      <c r="G1088" s="574"/>
      <c r="H1088" s="574"/>
      <c r="I1088" s="574"/>
    </row>
    <row r="1089" spans="1:9">
      <c r="A1089" s="578"/>
      <c r="B1089" s="578"/>
      <c r="C1089" s="578"/>
      <c r="D1089" s="578"/>
      <c r="E1089" s="578"/>
      <c r="F1089" s="601"/>
      <c r="G1089" s="574"/>
      <c r="H1089" s="574"/>
      <c r="I1089" s="574"/>
    </row>
    <row r="1090" spans="1:9">
      <c r="A1090" s="578"/>
      <c r="B1090" s="578"/>
      <c r="C1090" s="578"/>
      <c r="D1090" s="578"/>
      <c r="E1090" s="578"/>
      <c r="F1090" s="601"/>
      <c r="G1090" s="574"/>
      <c r="H1090" s="574"/>
      <c r="I1090" s="574"/>
    </row>
    <row r="1091" spans="1:9">
      <c r="A1091" s="578"/>
      <c r="B1091" s="578"/>
      <c r="C1091" s="578"/>
      <c r="D1091" s="578"/>
      <c r="E1091" s="578"/>
      <c r="F1091" s="601"/>
      <c r="G1091" s="574"/>
      <c r="H1091" s="574"/>
      <c r="I1091" s="574"/>
    </row>
    <row r="1092" spans="1:9">
      <c r="A1092" s="578"/>
      <c r="B1092" s="578"/>
      <c r="C1092" s="578"/>
      <c r="D1092" s="578"/>
      <c r="E1092" s="578"/>
      <c r="F1092" s="601"/>
      <c r="G1092" s="574"/>
      <c r="H1092" s="574"/>
      <c r="I1092" s="574"/>
    </row>
    <row r="1093" spans="1:9">
      <c r="A1093" s="578"/>
      <c r="B1093" s="578"/>
      <c r="C1093" s="578"/>
      <c r="D1093" s="578"/>
      <c r="E1093" s="578"/>
      <c r="F1093" s="601"/>
      <c r="G1093" s="574"/>
      <c r="H1093" s="574"/>
      <c r="I1093" s="574"/>
    </row>
    <row r="1094" spans="1:9">
      <c r="A1094" s="578"/>
      <c r="B1094" s="578"/>
      <c r="C1094" s="578"/>
      <c r="D1094" s="578"/>
      <c r="E1094" s="578"/>
      <c r="F1094" s="601"/>
      <c r="G1094" s="574"/>
      <c r="H1094" s="574"/>
      <c r="I1094" s="574"/>
    </row>
    <row r="1095" spans="1:9">
      <c r="A1095" s="578"/>
      <c r="B1095" s="578"/>
      <c r="C1095" s="578"/>
      <c r="D1095" s="578"/>
      <c r="E1095" s="578"/>
      <c r="F1095" s="601"/>
      <c r="G1095" s="574"/>
      <c r="H1095" s="574"/>
      <c r="I1095" s="574"/>
    </row>
    <row r="1096" spans="1:9">
      <c r="A1096" s="578"/>
      <c r="B1096" s="578"/>
      <c r="C1096" s="578"/>
      <c r="D1096" s="578"/>
      <c r="E1096" s="578"/>
      <c r="F1096" s="601"/>
      <c r="G1096" s="574"/>
      <c r="H1096" s="574"/>
      <c r="I1096" s="574"/>
    </row>
    <row r="1097" spans="1:9">
      <c r="A1097" s="578"/>
      <c r="B1097" s="578"/>
      <c r="C1097" s="578"/>
      <c r="D1097" s="578"/>
      <c r="E1097" s="578"/>
      <c r="F1097" s="601"/>
      <c r="G1097" s="574"/>
      <c r="H1097" s="574"/>
      <c r="I1097" s="574"/>
    </row>
    <row r="1098" spans="1:9">
      <c r="A1098" s="578"/>
      <c r="B1098" s="578"/>
      <c r="C1098" s="578"/>
      <c r="D1098" s="578"/>
      <c r="E1098" s="578"/>
      <c r="F1098" s="601"/>
      <c r="G1098" s="574"/>
      <c r="H1098" s="574"/>
      <c r="I1098" s="574"/>
    </row>
    <row r="1099" spans="1:9">
      <c r="A1099" s="578"/>
      <c r="B1099" s="578"/>
      <c r="C1099" s="578"/>
      <c r="D1099" s="578"/>
      <c r="E1099" s="578"/>
      <c r="F1099" s="601"/>
      <c r="G1099" s="574"/>
      <c r="H1099" s="574"/>
      <c r="I1099" s="574"/>
    </row>
    <row r="1100" spans="1:9">
      <c r="A1100" s="578"/>
      <c r="B1100" s="578"/>
      <c r="C1100" s="578"/>
      <c r="D1100" s="578"/>
      <c r="E1100" s="578"/>
      <c r="F1100" s="601"/>
      <c r="G1100" s="574"/>
      <c r="H1100" s="574"/>
      <c r="I1100" s="574"/>
    </row>
    <row r="1101" spans="1:9">
      <c r="A1101" s="578"/>
      <c r="B1101" s="578"/>
      <c r="C1101" s="578"/>
      <c r="D1101" s="578"/>
      <c r="E1101" s="578"/>
      <c r="F1101" s="601"/>
      <c r="G1101" s="574"/>
      <c r="H1101" s="574"/>
      <c r="I1101" s="574"/>
    </row>
    <row r="1102" spans="1:9">
      <c r="A1102" s="578"/>
      <c r="B1102" s="578"/>
      <c r="C1102" s="601"/>
      <c r="D1102" s="601"/>
      <c r="E1102" s="575"/>
      <c r="F1102" s="576"/>
      <c r="G1102" s="574"/>
      <c r="H1102" s="574"/>
      <c r="I1102" s="574"/>
    </row>
    <row r="1103" spans="1:9">
      <c r="A1103" s="578"/>
      <c r="B1103" s="578"/>
      <c r="C1103" s="601"/>
      <c r="D1103" s="601"/>
      <c r="E1103" s="601"/>
      <c r="F1103" s="601"/>
      <c r="G1103" s="574"/>
      <c r="H1103" s="574"/>
      <c r="I1103" s="574"/>
    </row>
    <row r="1104" spans="1:9">
      <c r="A1104" s="578"/>
      <c r="B1104" s="578"/>
      <c r="C1104" s="603"/>
      <c r="D1104" s="603"/>
      <c r="E1104" s="603"/>
      <c r="F1104" s="603"/>
      <c r="G1104" s="574"/>
      <c r="H1104" s="574"/>
      <c r="I1104" s="574"/>
    </row>
    <row r="1105" spans="1:9">
      <c r="A1105" s="591"/>
      <c r="B1105" s="591"/>
      <c r="C1105" s="603"/>
      <c r="D1105" s="603"/>
      <c r="E1105" s="603"/>
      <c r="F1105" s="603"/>
      <c r="G1105" s="574"/>
      <c r="H1105" s="574"/>
      <c r="I1105" s="574"/>
    </row>
    <row r="1106" spans="1:9">
      <c r="A1106" s="591"/>
      <c r="B1106" s="591"/>
      <c r="C1106" s="601"/>
      <c r="D1106" s="601"/>
      <c r="E1106" s="601"/>
      <c r="F1106" s="601"/>
      <c r="G1106" s="574"/>
      <c r="H1106" s="574"/>
      <c r="I1106" s="574"/>
    </row>
    <row r="1107" spans="1:9">
      <c r="A1107" s="603"/>
      <c r="B1107" s="603"/>
      <c r="C1107" s="578"/>
      <c r="D1107" s="578"/>
      <c r="E1107" s="578"/>
      <c r="F1107" s="601"/>
      <c r="G1107" s="574"/>
      <c r="H1107" s="574"/>
      <c r="I1107" s="574"/>
    </row>
    <row r="1108" spans="1:9">
      <c r="A1108" s="603"/>
      <c r="B1108" s="603"/>
      <c r="C1108" s="578"/>
      <c r="D1108" s="578"/>
      <c r="E1108" s="578"/>
      <c r="F1108" s="601"/>
      <c r="G1108" s="574"/>
      <c r="H1108" s="574"/>
      <c r="I1108" s="574"/>
    </row>
    <row r="1109" spans="1:9">
      <c r="A1109" s="601"/>
      <c r="B1109" s="601"/>
      <c r="C1109" s="578"/>
      <c r="D1109" s="578"/>
      <c r="E1109" s="578"/>
      <c r="F1109" s="601"/>
      <c r="G1109" s="574"/>
      <c r="H1109" s="574"/>
      <c r="I1109" s="574"/>
    </row>
    <row r="1110" spans="1:9">
      <c r="A1110" s="578"/>
      <c r="B1110" s="578"/>
      <c r="C1110" s="578"/>
      <c r="D1110" s="578"/>
      <c r="E1110" s="578"/>
      <c r="F1110" s="601"/>
      <c r="G1110" s="574"/>
      <c r="H1110" s="574"/>
      <c r="I1110" s="574"/>
    </row>
    <row r="1111" spans="1:9">
      <c r="A1111" s="578"/>
      <c r="B1111" s="578"/>
      <c r="C1111" s="578"/>
      <c r="D1111" s="578"/>
      <c r="E1111" s="578"/>
      <c r="F1111" s="601"/>
      <c r="G1111" s="574"/>
      <c r="H1111" s="574"/>
      <c r="I1111" s="574"/>
    </row>
    <row r="1112" spans="1:9">
      <c r="A1112" s="578"/>
      <c r="B1112" s="578"/>
      <c r="C1112" s="601"/>
      <c r="D1112" s="601"/>
      <c r="E1112" s="575"/>
      <c r="F1112" s="576"/>
      <c r="G1112" s="574"/>
      <c r="H1112" s="574"/>
      <c r="I1112" s="574"/>
    </row>
    <row r="1113" spans="1:9">
      <c r="A1113" s="578"/>
      <c r="B1113" s="578"/>
      <c r="C1113" s="601"/>
      <c r="D1113" s="601"/>
      <c r="E1113" s="601"/>
      <c r="F1113" s="601"/>
      <c r="G1113" s="574"/>
      <c r="H1113" s="574"/>
      <c r="I1113" s="574"/>
    </row>
    <row r="1114" spans="1:9">
      <c r="A1114" s="578"/>
      <c r="B1114" s="578"/>
      <c r="C1114" s="600"/>
      <c r="D1114" s="600"/>
      <c r="E1114" s="600"/>
      <c r="F1114" s="600"/>
      <c r="G1114" s="574"/>
      <c r="H1114" s="574"/>
      <c r="I1114" s="574"/>
    </row>
    <row r="1115" spans="1:9">
      <c r="A1115" s="591"/>
      <c r="B1115" s="591"/>
      <c r="C1115" s="600"/>
      <c r="D1115" s="600"/>
      <c r="E1115" s="600"/>
      <c r="F1115" s="600"/>
      <c r="G1115" s="574"/>
      <c r="H1115" s="574"/>
      <c r="I1115" s="574"/>
    </row>
    <row r="1116" spans="1:9">
      <c r="A1116" s="591"/>
      <c r="B1116" s="591"/>
      <c r="C1116" s="591"/>
      <c r="D1116" s="591"/>
      <c r="E1116" s="600"/>
      <c r="F1116" s="600"/>
      <c r="G1116" s="574"/>
      <c r="H1116" s="574"/>
      <c r="I1116" s="574"/>
    </row>
    <row r="1117" spans="1:9">
      <c r="A1117" s="600"/>
      <c r="B1117" s="600"/>
      <c r="C1117" s="578"/>
      <c r="D1117" s="572"/>
      <c r="E1117" s="600"/>
      <c r="F1117" s="600"/>
      <c r="G1117" s="574"/>
      <c r="H1117" s="574"/>
      <c r="I1117" s="574"/>
    </row>
    <row r="1118" spans="1:9">
      <c r="A1118" s="600"/>
      <c r="B1118" s="600"/>
      <c r="C1118" s="578"/>
      <c r="D1118" s="572"/>
      <c r="E1118" s="600"/>
      <c r="F1118" s="600"/>
      <c r="G1118" s="574"/>
      <c r="H1118" s="574"/>
      <c r="I1118" s="574"/>
    </row>
    <row r="1119" spans="1:9">
      <c r="A1119" s="591"/>
      <c r="B1119" s="591"/>
      <c r="C1119" s="578"/>
      <c r="D1119" s="572"/>
      <c r="E1119" s="600"/>
      <c r="F1119" s="600"/>
      <c r="G1119" s="574"/>
      <c r="H1119" s="574"/>
      <c r="I1119" s="574"/>
    </row>
    <row r="1120" spans="1:9">
      <c r="A1120" s="602"/>
      <c r="B1120" s="578"/>
      <c r="C1120" s="578"/>
      <c r="D1120" s="572"/>
      <c r="E1120" s="600"/>
      <c r="F1120" s="600"/>
      <c r="G1120" s="574"/>
      <c r="H1120" s="574"/>
      <c r="I1120" s="574"/>
    </row>
    <row r="1121" spans="1:9">
      <c r="A1121" s="602"/>
      <c r="B1121" s="578"/>
      <c r="C1121" s="578"/>
      <c r="D1121" s="572"/>
      <c r="E1121" s="600"/>
      <c r="F1121" s="600"/>
      <c r="G1121" s="574"/>
      <c r="H1121" s="574"/>
      <c r="I1121" s="574"/>
    </row>
    <row r="1122" spans="1:9">
      <c r="A1122" s="591"/>
      <c r="B1122" s="578"/>
      <c r="C1122" s="578"/>
      <c r="D1122" s="572"/>
      <c r="E1122" s="600"/>
      <c r="F1122" s="600"/>
      <c r="G1122" s="574"/>
      <c r="H1122" s="574"/>
      <c r="I1122" s="574"/>
    </row>
    <row r="1123" spans="1:9">
      <c r="A1123" s="591"/>
      <c r="B1123" s="578"/>
      <c r="C1123" s="578"/>
      <c r="D1123" s="572"/>
      <c r="E1123" s="600"/>
      <c r="F1123" s="600"/>
      <c r="G1123" s="574"/>
      <c r="H1123" s="574"/>
      <c r="I1123" s="574"/>
    </row>
    <row r="1124" spans="1:9">
      <c r="A1124" s="591"/>
      <c r="B1124" s="578"/>
      <c r="C1124" s="578"/>
      <c r="D1124" s="572"/>
      <c r="E1124" s="600"/>
      <c r="F1124" s="600"/>
      <c r="G1124" s="574"/>
      <c r="H1124" s="574"/>
      <c r="I1124" s="574"/>
    </row>
    <row r="1125" spans="1:9">
      <c r="A1125" s="591"/>
      <c r="B1125" s="578"/>
      <c r="C1125" s="578"/>
      <c r="D1125" s="572"/>
      <c r="E1125" s="600"/>
      <c r="F1125" s="600"/>
      <c r="G1125" s="574"/>
      <c r="H1125" s="574"/>
      <c r="I1125" s="574"/>
    </row>
    <row r="1126" spans="1:9">
      <c r="A1126" s="591"/>
      <c r="B1126" s="578"/>
      <c r="C1126" s="578"/>
      <c r="D1126" s="572"/>
      <c r="E1126" s="600"/>
      <c r="F1126" s="600"/>
      <c r="G1126" s="574"/>
      <c r="H1126" s="574"/>
      <c r="I1126" s="574"/>
    </row>
    <row r="1127" spans="1:9">
      <c r="A1127" s="602"/>
      <c r="B1127" s="578"/>
      <c r="C1127" s="578"/>
      <c r="D1127" s="572"/>
      <c r="E1127" s="600"/>
      <c r="F1127" s="600"/>
      <c r="G1127" s="574"/>
      <c r="H1127" s="574"/>
      <c r="I1127" s="574"/>
    </row>
    <row r="1128" spans="1:9">
      <c r="A1128" s="602"/>
      <c r="B1128" s="578"/>
      <c r="C1128" s="600"/>
      <c r="D1128" s="575"/>
      <c r="E1128" s="576"/>
      <c r="F1128" s="600"/>
      <c r="G1128" s="574"/>
      <c r="H1128" s="574"/>
      <c r="I1128" s="574"/>
    </row>
    <row r="1129" spans="1:9">
      <c r="A1129" s="591"/>
      <c r="B1129" s="578"/>
      <c r="C1129" s="600"/>
      <c r="D1129" s="600"/>
      <c r="E1129" s="600"/>
      <c r="F1129" s="600"/>
      <c r="G1129" s="574"/>
      <c r="H1129" s="574"/>
      <c r="I1129" s="574"/>
    </row>
    <row r="1130" spans="1:9">
      <c r="A1130" s="591"/>
      <c r="B1130" s="578"/>
      <c r="C1130" s="598"/>
      <c r="D1130" s="598"/>
      <c r="E1130" s="598"/>
      <c r="F1130" s="601"/>
      <c r="G1130" s="574"/>
      <c r="H1130" s="574"/>
      <c r="I1130" s="574"/>
    </row>
    <row r="1131" spans="1:9">
      <c r="A1131" s="600"/>
      <c r="B1131" s="578"/>
      <c r="C1131" s="600"/>
      <c r="D1131" s="600"/>
      <c r="E1131" s="600"/>
      <c r="F1131" s="600"/>
      <c r="G1131" s="574"/>
      <c r="H1131" s="574"/>
      <c r="I1131" s="574"/>
    </row>
    <row r="1132" spans="1:9">
      <c r="A1132" s="600"/>
      <c r="B1132" s="600"/>
      <c r="C1132" s="600"/>
      <c r="D1132" s="600"/>
      <c r="E1132" s="600"/>
      <c r="F1132" s="600"/>
      <c r="G1132" s="574"/>
      <c r="H1132" s="574"/>
      <c r="I1132" s="574"/>
    </row>
    <row r="1133" spans="1:9">
      <c r="A1133" s="598"/>
      <c r="B1133" s="598"/>
      <c r="C1133" s="600"/>
      <c r="D1133" s="600"/>
      <c r="E1133" s="600"/>
      <c r="F1133" s="600"/>
      <c r="G1133" s="574"/>
      <c r="H1133" s="574"/>
      <c r="I1133" s="574"/>
    </row>
    <row r="1134" spans="1:9">
      <c r="A1134" s="600"/>
      <c r="B1134" s="600"/>
      <c r="C1134" s="600"/>
      <c r="D1134" s="600"/>
      <c r="E1134" s="600"/>
      <c r="F1134" s="600"/>
      <c r="G1134" s="574"/>
      <c r="H1134" s="574"/>
      <c r="I1134" s="574"/>
    </row>
    <row r="1135" spans="1:9">
      <c r="A1135" s="600"/>
      <c r="B1135" s="600"/>
      <c r="C1135" s="600"/>
      <c r="D1135" s="600"/>
      <c r="E1135" s="600"/>
      <c r="F1135" s="600"/>
      <c r="G1135" s="574"/>
      <c r="H1135" s="574"/>
      <c r="I1135" s="574"/>
    </row>
    <row r="1136" spans="1:9">
      <c r="A1136" s="591"/>
      <c r="B1136" s="591"/>
      <c r="C1136" s="600"/>
      <c r="D1136" s="600"/>
      <c r="E1136" s="600"/>
      <c r="F1136" s="600"/>
      <c r="G1136" s="574"/>
      <c r="H1136" s="574"/>
      <c r="I1136" s="574"/>
    </row>
    <row r="1137" spans="1:9">
      <c r="A1137" s="602"/>
      <c r="B1137" s="578"/>
      <c r="C1137" s="600"/>
      <c r="D1137" s="600"/>
      <c r="E1137" s="600"/>
      <c r="F1137" s="600"/>
      <c r="G1137" s="574"/>
      <c r="H1137" s="574"/>
      <c r="I1137" s="574"/>
    </row>
    <row r="1138" spans="1:9">
      <c r="A1138" s="602"/>
      <c r="B1138" s="578"/>
      <c r="C1138" s="576"/>
      <c r="D1138" s="600"/>
      <c r="E1138" s="600"/>
      <c r="F1138" s="600"/>
      <c r="G1138" s="574"/>
      <c r="H1138" s="574"/>
      <c r="I1138" s="574"/>
    </row>
    <row r="1139" spans="1:9">
      <c r="A1139" s="602"/>
      <c r="B1139" s="578"/>
      <c r="C1139" s="598"/>
      <c r="D1139" s="598"/>
      <c r="E1139" s="598"/>
      <c r="F1139" s="598"/>
      <c r="G1139" s="574"/>
      <c r="H1139" s="574"/>
      <c r="I1139" s="574"/>
    </row>
    <row r="1140" spans="1:9">
      <c r="A1140" s="602"/>
      <c r="B1140" s="578"/>
      <c r="C1140" s="598"/>
      <c r="D1140" s="598"/>
      <c r="E1140" s="598"/>
      <c r="F1140" s="598"/>
      <c r="G1140" s="574"/>
      <c r="H1140" s="574"/>
      <c r="I1140" s="574"/>
    </row>
    <row r="1141" spans="1:9">
      <c r="A1141" s="600"/>
      <c r="B1141" s="575"/>
      <c r="C1141" s="598"/>
      <c r="D1141" s="598"/>
      <c r="E1141" s="598"/>
      <c r="F1141" s="598"/>
      <c r="G1141" s="574"/>
      <c r="H1141" s="574"/>
      <c r="I1141" s="574"/>
    </row>
    <row r="1142" spans="1:9">
      <c r="A1142" s="598"/>
      <c r="B1142" s="598"/>
      <c r="C1142" s="600"/>
      <c r="D1142" s="598"/>
      <c r="E1142" s="598"/>
      <c r="F1142" s="598"/>
      <c r="G1142" s="574"/>
      <c r="H1142" s="574"/>
      <c r="I1142" s="574"/>
    </row>
    <row r="1143" spans="1:9">
      <c r="A1143" s="598"/>
      <c r="B1143" s="598"/>
      <c r="C1143" s="600"/>
      <c r="D1143" s="598"/>
      <c r="E1143" s="598"/>
      <c r="F1143" s="598"/>
      <c r="G1143" s="574"/>
      <c r="H1143" s="574"/>
      <c r="I1143" s="574"/>
    </row>
    <row r="1144" spans="1:9">
      <c r="A1144" s="598"/>
      <c r="B1144" s="598"/>
      <c r="C1144" s="600"/>
      <c r="D1144" s="598"/>
      <c r="E1144" s="598"/>
      <c r="F1144" s="598"/>
      <c r="G1144" s="574"/>
      <c r="H1144" s="574"/>
      <c r="I1144" s="574"/>
    </row>
    <row r="1145" spans="1:9">
      <c r="A1145" s="591"/>
      <c r="B1145" s="591"/>
      <c r="C1145" s="600"/>
      <c r="D1145" s="598"/>
      <c r="E1145" s="598"/>
      <c r="F1145" s="598"/>
      <c r="G1145" s="574"/>
      <c r="H1145" s="574"/>
      <c r="I1145" s="574"/>
    </row>
    <row r="1146" spans="1:9">
      <c r="A1146" s="602"/>
      <c r="B1146" s="578"/>
      <c r="C1146" s="600"/>
      <c r="D1146" s="598"/>
      <c r="E1146" s="598"/>
      <c r="F1146" s="598"/>
      <c r="G1146" s="574"/>
      <c r="H1146" s="574"/>
      <c r="I1146" s="574"/>
    </row>
    <row r="1147" spans="1:9">
      <c r="A1147" s="602"/>
      <c r="B1147" s="578"/>
      <c r="C1147" s="576"/>
      <c r="D1147" s="598"/>
      <c r="E1147" s="598"/>
      <c r="F1147" s="598"/>
      <c r="G1147" s="574"/>
      <c r="H1147" s="574"/>
      <c r="I1147" s="574"/>
    </row>
    <row r="1148" spans="1:9">
      <c r="A1148" s="602"/>
      <c r="B1148" s="578"/>
      <c r="C1148" s="598"/>
      <c r="D1148" s="598"/>
      <c r="E1148" s="598"/>
      <c r="F1148" s="598"/>
      <c r="G1148" s="574"/>
      <c r="H1148" s="574"/>
      <c r="I1148" s="574"/>
    </row>
    <row r="1149" spans="1:9">
      <c r="A1149" s="602"/>
      <c r="B1149" s="578"/>
      <c r="C1149" s="598"/>
      <c r="D1149" s="598"/>
      <c r="E1149" s="598"/>
      <c r="F1149" s="598"/>
      <c r="G1149" s="574"/>
      <c r="H1149" s="574"/>
      <c r="I1149" s="574"/>
    </row>
    <row r="1150" spans="1:9">
      <c r="A1150" s="600"/>
      <c r="B1150" s="575"/>
      <c r="C1150" s="598"/>
      <c r="D1150" s="598"/>
      <c r="E1150" s="598"/>
      <c r="F1150" s="598"/>
      <c r="G1150" s="574"/>
      <c r="H1150" s="574"/>
      <c r="I1150" s="574"/>
    </row>
    <row r="1151" spans="1:9">
      <c r="A1151" s="598"/>
      <c r="B1151" s="598"/>
      <c r="C1151" s="598"/>
      <c r="D1151" s="598"/>
      <c r="E1151" s="598"/>
      <c r="F1151" s="598"/>
      <c r="G1151" s="574"/>
      <c r="H1151" s="574"/>
      <c r="I1151" s="574"/>
    </row>
    <row r="1152" spans="1:9">
      <c r="A1152" s="598"/>
      <c r="B1152" s="598"/>
      <c r="C1152" s="576"/>
      <c r="D1152" s="598"/>
      <c r="E1152" s="598"/>
      <c r="F1152" s="598"/>
      <c r="G1152" s="574"/>
      <c r="H1152" s="574"/>
      <c r="I1152" s="574"/>
    </row>
    <row r="1153" spans="1:9">
      <c r="A1153" s="598"/>
      <c r="B1153" s="598"/>
      <c r="C1153" s="598"/>
      <c r="D1153" s="598"/>
      <c r="E1153" s="598"/>
      <c r="F1153" s="598"/>
      <c r="G1153" s="574"/>
      <c r="H1153" s="574"/>
      <c r="I1153" s="574"/>
    </row>
    <row r="1154" spans="1:9">
      <c r="A1154" s="591"/>
      <c r="B1154" s="591"/>
      <c r="C1154" s="598"/>
      <c r="D1154" s="598"/>
      <c r="E1154" s="598"/>
      <c r="F1154" s="598"/>
      <c r="G1154" s="574"/>
      <c r="H1154" s="574"/>
      <c r="I1154" s="574"/>
    </row>
    <row r="1155" spans="1:9">
      <c r="A1155" s="602"/>
      <c r="B1155" s="575"/>
      <c r="C1155" s="598"/>
      <c r="D1155" s="598"/>
      <c r="E1155" s="598"/>
      <c r="F1155" s="598"/>
      <c r="G1155" s="574"/>
      <c r="H1155" s="574"/>
      <c r="I1155" s="574"/>
    </row>
    <row r="1156" spans="1:9">
      <c r="A1156" s="598"/>
      <c r="B1156" s="598"/>
      <c r="C1156" s="578"/>
      <c r="D1156" s="578"/>
      <c r="E1156" s="598"/>
      <c r="F1156" s="598"/>
      <c r="G1156" s="574"/>
      <c r="H1156" s="574"/>
      <c r="I1156" s="574"/>
    </row>
    <row r="1157" spans="1:9">
      <c r="A1157" s="598"/>
      <c r="B1157" s="598"/>
      <c r="C1157" s="578"/>
      <c r="D1157" s="578"/>
      <c r="E1157" s="598"/>
      <c r="F1157" s="598"/>
      <c r="G1157" s="574"/>
      <c r="H1157" s="574"/>
      <c r="I1157" s="574"/>
    </row>
    <row r="1158" spans="1:9">
      <c r="A1158" s="598"/>
      <c r="B1158" s="598"/>
      <c r="C1158" s="578"/>
      <c r="D1158" s="578"/>
      <c r="E1158" s="598"/>
      <c r="F1158" s="598"/>
      <c r="G1158" s="574"/>
      <c r="H1158" s="574"/>
      <c r="I1158" s="574"/>
    </row>
    <row r="1159" spans="1:9">
      <c r="A1159" s="591"/>
      <c r="B1159" s="578"/>
      <c r="C1159" s="578"/>
      <c r="D1159" s="578"/>
      <c r="E1159" s="598"/>
      <c r="F1159" s="598"/>
      <c r="G1159" s="574"/>
      <c r="H1159" s="574"/>
      <c r="I1159" s="574"/>
    </row>
    <row r="1160" spans="1:9">
      <c r="A1160" s="602"/>
      <c r="B1160" s="578"/>
      <c r="C1160" s="578"/>
      <c r="D1160" s="578"/>
      <c r="E1160" s="598"/>
      <c r="F1160" s="598"/>
      <c r="G1160" s="574"/>
      <c r="H1160" s="574"/>
      <c r="I1160" s="574"/>
    </row>
    <row r="1161" spans="1:9">
      <c r="A1161" s="602"/>
      <c r="B1161" s="578"/>
      <c r="C1161" s="578"/>
      <c r="D1161" s="578"/>
      <c r="E1161" s="598"/>
      <c r="F1161" s="598"/>
      <c r="G1161" s="574"/>
      <c r="H1161" s="574"/>
      <c r="I1161" s="574"/>
    </row>
    <row r="1162" spans="1:9">
      <c r="A1162" s="602"/>
      <c r="B1162" s="578"/>
      <c r="C1162" s="598"/>
      <c r="D1162" s="575"/>
      <c r="E1162" s="576"/>
      <c r="F1162" s="598"/>
      <c r="G1162" s="574"/>
      <c r="H1162" s="574"/>
      <c r="I1162" s="574"/>
    </row>
    <row r="1163" spans="1:9">
      <c r="A1163" s="602"/>
      <c r="B1163" s="578"/>
      <c r="C1163" s="598"/>
      <c r="D1163" s="598"/>
      <c r="E1163" s="598"/>
      <c r="F1163" s="598"/>
      <c r="G1163" s="574"/>
      <c r="H1163" s="574"/>
      <c r="I1163" s="574"/>
    </row>
    <row r="1164" spans="1:9">
      <c r="A1164" s="608"/>
      <c r="B1164" s="609"/>
      <c r="C1164" s="610"/>
      <c r="D1164" s="610"/>
      <c r="E1164" s="610"/>
      <c r="F1164" s="610"/>
      <c r="G1164" s="570"/>
    </row>
    <row r="1165" spans="1:9">
      <c r="A1165" s="611"/>
      <c r="B1165" s="611"/>
      <c r="C1165" s="610"/>
      <c r="D1165" s="610"/>
      <c r="E1165" s="610"/>
      <c r="F1165" s="610"/>
      <c r="G1165" s="570"/>
    </row>
    <row r="1166" spans="1:9">
      <c r="A1166" s="611"/>
      <c r="B1166" s="611"/>
      <c r="C1166" s="612"/>
      <c r="D1166" s="612"/>
      <c r="E1166" s="612"/>
      <c r="F1166" s="612"/>
      <c r="G1166" s="570"/>
    </row>
    <row r="1167" spans="1:9">
      <c r="A1167" s="610"/>
      <c r="B1167" s="610"/>
      <c r="C1167" s="612"/>
      <c r="D1167" s="612"/>
      <c r="E1167" s="612"/>
      <c r="F1167" s="612"/>
      <c r="G1167" s="570"/>
    </row>
    <row r="1168" spans="1:9">
      <c r="A1168" s="610"/>
      <c r="B1168" s="610"/>
      <c r="C1168" s="612"/>
      <c r="D1168" s="612"/>
      <c r="E1168" s="612"/>
      <c r="F1168" s="612"/>
      <c r="G1168" s="570"/>
    </row>
    <row r="1169" spans="1:7">
      <c r="A1169" s="612"/>
      <c r="B1169" s="612"/>
      <c r="C1169" s="612"/>
      <c r="D1169" s="612"/>
      <c r="E1169" s="612"/>
      <c r="F1169" s="612"/>
      <c r="G1169" s="570"/>
    </row>
    <row r="1170" spans="1:7">
      <c r="A1170" s="613"/>
      <c r="B1170" s="591"/>
      <c r="C1170" s="612"/>
      <c r="D1170" s="612"/>
      <c r="E1170" s="612"/>
      <c r="F1170" s="612"/>
      <c r="G1170" s="570"/>
    </row>
    <row r="1171" spans="1:7">
      <c r="A1171" s="608"/>
      <c r="B1171" s="609"/>
      <c r="C1171" s="612"/>
      <c r="D1171" s="612"/>
      <c r="E1171" s="612"/>
      <c r="F1171" s="612"/>
      <c r="G1171" s="570"/>
    </row>
    <row r="1172" spans="1:7">
      <c r="A1172" s="608"/>
      <c r="B1172" s="609"/>
      <c r="C1172" s="612"/>
      <c r="D1172" s="612"/>
      <c r="E1172" s="612"/>
      <c r="F1172" s="612"/>
      <c r="G1172" s="570"/>
    </row>
    <row r="1173" spans="1:7">
      <c r="A1173" s="608"/>
      <c r="B1173" s="609"/>
      <c r="C1173" s="614"/>
      <c r="D1173" s="611"/>
      <c r="E1173" s="611"/>
      <c r="F1173" s="611"/>
      <c r="G1173" s="570"/>
    </row>
    <row r="1174" spans="1:7">
      <c r="A1174" s="608"/>
      <c r="B1174" s="609"/>
      <c r="C1174" s="611"/>
      <c r="D1174" s="611"/>
      <c r="E1174" s="611"/>
      <c r="F1174" s="611"/>
      <c r="G1174" s="570"/>
    </row>
    <row r="1175" spans="1:7">
      <c r="A1175" s="608"/>
      <c r="B1175" s="609"/>
      <c r="C1175" s="611"/>
      <c r="D1175" s="611"/>
      <c r="E1175" s="611"/>
      <c r="F1175" s="611"/>
      <c r="G1175" s="570"/>
    </row>
    <row r="1176" spans="1:7">
      <c r="A1176" s="611"/>
      <c r="B1176" s="615"/>
      <c r="C1176" s="611"/>
      <c r="D1176" s="611"/>
      <c r="E1176" s="611"/>
      <c r="F1176" s="611"/>
      <c r="G1176" s="570"/>
    </row>
    <row r="1177" spans="1:7">
      <c r="A1177" s="611"/>
      <c r="B1177" s="611"/>
      <c r="C1177" s="611"/>
      <c r="D1177" s="611"/>
      <c r="E1177" s="611"/>
      <c r="F1177" s="611"/>
      <c r="G1177" s="570"/>
    </row>
    <row r="1178" spans="1:7">
      <c r="A1178" s="611"/>
      <c r="B1178" s="611"/>
      <c r="C1178" s="611"/>
      <c r="D1178" s="611"/>
      <c r="E1178" s="611"/>
      <c r="F1178" s="611"/>
      <c r="G1178" s="570"/>
    </row>
    <row r="1179" spans="1:7">
      <c r="A1179" s="611"/>
      <c r="B1179" s="611"/>
      <c r="C1179" s="611"/>
      <c r="D1179" s="611"/>
      <c r="E1179" s="611"/>
      <c r="F1179" s="611"/>
      <c r="G1179" s="570"/>
    </row>
    <row r="1180" spans="1:7">
      <c r="A1180" s="613"/>
      <c r="B1180" s="609"/>
      <c r="C1180" s="611"/>
      <c r="D1180" s="611"/>
      <c r="E1180" s="611"/>
      <c r="F1180" s="611"/>
      <c r="G1180" s="570"/>
    </row>
    <row r="1181" spans="1:7">
      <c r="A1181" s="616"/>
      <c r="B1181" s="609"/>
      <c r="C1181" s="611"/>
      <c r="D1181" s="611"/>
      <c r="E1181" s="611"/>
      <c r="F1181" s="611"/>
      <c r="G1181" s="570"/>
    </row>
    <row r="1182" spans="1:7">
      <c r="A1182" s="616"/>
      <c r="B1182" s="609"/>
      <c r="C1182" s="611"/>
      <c r="D1182" s="611"/>
      <c r="E1182" s="611"/>
      <c r="F1182" s="611"/>
      <c r="G1182" s="570"/>
    </row>
    <row r="1183" spans="1:7">
      <c r="A1183" s="616"/>
      <c r="B1183" s="609"/>
      <c r="C1183" s="611"/>
      <c r="D1183" s="611"/>
      <c r="E1183" s="611"/>
      <c r="F1183" s="611"/>
      <c r="G1183" s="570"/>
    </row>
    <row r="1184" spans="1:7">
      <c r="A1184" s="616"/>
      <c r="B1184" s="609"/>
      <c r="C1184" s="611"/>
      <c r="D1184" s="611"/>
      <c r="E1184" s="611"/>
      <c r="F1184" s="611"/>
      <c r="G1184" s="570"/>
    </row>
    <row r="1185" spans="1:7">
      <c r="A1185" s="608"/>
      <c r="B1185" s="609"/>
      <c r="C1185" s="611"/>
      <c r="D1185" s="611"/>
      <c r="E1185" s="611"/>
      <c r="F1185" s="611"/>
      <c r="G1185" s="570"/>
    </row>
    <row r="1186" spans="1:7">
      <c r="A1186" s="608"/>
      <c r="B1186" s="609"/>
      <c r="C1186" s="614"/>
      <c r="D1186" s="611"/>
      <c r="E1186" s="611"/>
      <c r="F1186" s="611"/>
      <c r="G1186" s="570"/>
    </row>
    <row r="1187" spans="1:7">
      <c r="A1187" s="616"/>
      <c r="B1187" s="609"/>
      <c r="C1187" s="611"/>
      <c r="D1187" s="611"/>
      <c r="E1187" s="611"/>
      <c r="F1187" s="611"/>
      <c r="G1187" s="570"/>
    </row>
    <row r="1188" spans="1:7">
      <c r="A1188" s="616"/>
      <c r="B1188" s="609"/>
      <c r="C1188" s="611"/>
      <c r="D1188" s="611"/>
      <c r="E1188" s="611"/>
      <c r="F1188" s="611"/>
      <c r="G1188" s="570"/>
    </row>
    <row r="1189" spans="1:7">
      <c r="A1189" s="611"/>
      <c r="B1189" s="615"/>
      <c r="C1189" s="611"/>
      <c r="D1189" s="611"/>
      <c r="E1189" s="611"/>
      <c r="F1189" s="611"/>
      <c r="G1189" s="570"/>
    </row>
    <row r="1190" spans="1:7">
      <c r="A1190" s="611"/>
      <c r="B1190" s="611"/>
      <c r="C1190" s="611"/>
      <c r="D1190" s="611"/>
      <c r="E1190" s="611"/>
      <c r="F1190" s="611"/>
      <c r="G1190" s="570"/>
    </row>
    <row r="1191" spans="1:7">
      <c r="A1191" s="611"/>
      <c r="B1191" s="611"/>
      <c r="C1191" s="611"/>
      <c r="D1191" s="611"/>
      <c r="E1191" s="611"/>
      <c r="F1191" s="611"/>
      <c r="G1191" s="570"/>
    </row>
    <row r="1192" spans="1:7">
      <c r="A1192" s="611"/>
      <c r="B1192" s="611"/>
      <c r="C1192" s="611"/>
      <c r="D1192" s="611"/>
      <c r="E1192" s="611"/>
      <c r="F1192" s="611"/>
      <c r="G1192" s="570"/>
    </row>
    <row r="1193" spans="1:7">
      <c r="A1193" s="613"/>
      <c r="B1193" s="609"/>
      <c r="C1193" s="611"/>
      <c r="D1193" s="611"/>
      <c r="E1193" s="611"/>
      <c r="F1193" s="611"/>
      <c r="G1193" s="570"/>
    </row>
    <row r="1194" spans="1:7">
      <c r="A1194" s="616"/>
      <c r="B1194" s="609"/>
      <c r="C1194" s="611"/>
      <c r="D1194" s="611"/>
      <c r="E1194" s="611"/>
      <c r="F1194" s="611"/>
      <c r="G1194" s="570"/>
    </row>
    <row r="1195" spans="1:7">
      <c r="A1195" s="616"/>
      <c r="B1195" s="609"/>
      <c r="C1195" s="611"/>
      <c r="D1195" s="611"/>
      <c r="E1195" s="611"/>
      <c r="F1195" s="611"/>
      <c r="G1195" s="570"/>
    </row>
    <row r="1196" spans="1:7">
      <c r="A1196" s="616"/>
      <c r="B1196" s="609"/>
      <c r="C1196" s="611"/>
      <c r="D1196" s="611"/>
      <c r="E1196" s="611"/>
      <c r="F1196" s="611"/>
      <c r="G1196" s="570"/>
    </row>
    <row r="1197" spans="1:7">
      <c r="A1197" s="616"/>
      <c r="B1197" s="609"/>
      <c r="C1197" s="611"/>
      <c r="D1197" s="611"/>
      <c r="E1197" s="611"/>
      <c r="F1197" s="611"/>
      <c r="G1197" s="570"/>
    </row>
    <row r="1198" spans="1:7">
      <c r="A1198" s="608"/>
      <c r="B1198" s="609"/>
      <c r="C1198" s="611"/>
      <c r="D1198" s="611"/>
      <c r="E1198" s="611"/>
      <c r="F1198" s="611"/>
      <c r="G1198" s="570"/>
    </row>
    <row r="1199" spans="1:7">
      <c r="A1199" s="608"/>
      <c r="B1199" s="609"/>
      <c r="C1199" s="614"/>
      <c r="D1199" s="611"/>
      <c r="E1199" s="611"/>
      <c r="F1199" s="611"/>
      <c r="G1199" s="570"/>
    </row>
    <row r="1200" spans="1:7">
      <c r="A1200" s="616"/>
      <c r="B1200" s="609"/>
      <c r="C1200" s="611"/>
      <c r="D1200" s="611"/>
      <c r="E1200" s="611"/>
      <c r="F1200" s="611"/>
      <c r="G1200" s="570"/>
    </row>
    <row r="1201" spans="1:7">
      <c r="A1201" s="616"/>
      <c r="B1201" s="609"/>
      <c r="C1201" s="611"/>
      <c r="D1201" s="611"/>
      <c r="E1201" s="611"/>
      <c r="F1201" s="611"/>
      <c r="G1201" s="570"/>
    </row>
    <row r="1202" spans="1:7">
      <c r="A1202" s="611"/>
      <c r="B1202" s="615"/>
      <c r="C1202" s="611"/>
      <c r="D1202" s="611"/>
      <c r="E1202" s="611"/>
      <c r="F1202" s="611"/>
      <c r="G1202" s="570"/>
    </row>
    <row r="1203" spans="1:7">
      <c r="A1203" s="611"/>
      <c r="B1203" s="611"/>
      <c r="C1203" s="611"/>
      <c r="D1203" s="611"/>
      <c r="E1203" s="611"/>
      <c r="F1203" s="611"/>
      <c r="G1203" s="570"/>
    </row>
    <row r="1204" spans="1:7">
      <c r="A1204" s="611"/>
      <c r="B1204" s="611"/>
      <c r="C1204" s="611"/>
      <c r="D1204" s="611"/>
      <c r="E1204" s="611"/>
      <c r="F1204" s="611"/>
      <c r="G1204" s="570"/>
    </row>
    <row r="1205" spans="1:7">
      <c r="A1205" s="611"/>
      <c r="B1205" s="611"/>
      <c r="C1205" s="611"/>
      <c r="D1205" s="611"/>
      <c r="E1205" s="611"/>
      <c r="F1205" s="611"/>
      <c r="G1205" s="570"/>
    </row>
    <row r="1206" spans="1:7">
      <c r="A1206" s="613"/>
      <c r="B1206" s="591"/>
      <c r="C1206" s="611"/>
      <c r="D1206" s="611"/>
      <c r="E1206" s="611"/>
      <c r="F1206" s="611"/>
      <c r="G1206" s="570"/>
    </row>
    <row r="1207" spans="1:7">
      <c r="A1207" s="608"/>
      <c r="B1207" s="609"/>
      <c r="C1207" s="611"/>
      <c r="D1207" s="611"/>
      <c r="E1207" s="611"/>
      <c r="F1207" s="611"/>
      <c r="G1207" s="570"/>
    </row>
    <row r="1208" spans="1:7">
      <c r="A1208" s="608"/>
      <c r="B1208" s="609"/>
      <c r="C1208" s="614"/>
      <c r="D1208" s="611"/>
      <c r="E1208" s="611"/>
      <c r="F1208" s="611"/>
      <c r="G1208" s="570"/>
    </row>
    <row r="1209" spans="1:7">
      <c r="A1209" s="608"/>
      <c r="B1209" s="609"/>
      <c r="C1209" s="611"/>
      <c r="D1209" s="611"/>
      <c r="E1209" s="611"/>
      <c r="F1209" s="611"/>
      <c r="G1209" s="570"/>
    </row>
    <row r="1210" spans="1:7">
      <c r="A1210" s="608"/>
      <c r="B1210" s="609"/>
      <c r="C1210" s="611"/>
      <c r="D1210" s="611"/>
      <c r="E1210" s="611"/>
      <c r="F1210" s="611"/>
      <c r="G1210" s="570"/>
    </row>
    <row r="1211" spans="1:7">
      <c r="A1211" s="611"/>
      <c r="B1211" s="615"/>
      <c r="C1211" s="611"/>
      <c r="D1211" s="611"/>
      <c r="E1211" s="611"/>
      <c r="F1211" s="611"/>
      <c r="G1211" s="570"/>
    </row>
    <row r="1212" spans="1:7">
      <c r="A1212" s="611"/>
      <c r="B1212" s="611"/>
      <c r="C1212" s="611"/>
      <c r="D1212" s="611"/>
      <c r="E1212" s="611"/>
      <c r="F1212" s="611"/>
      <c r="G1212" s="570"/>
    </row>
    <row r="1213" spans="1:7">
      <c r="A1213" s="611"/>
      <c r="B1213" s="611"/>
      <c r="C1213" s="611"/>
      <c r="D1213" s="611"/>
      <c r="E1213" s="611"/>
      <c r="F1213" s="611"/>
      <c r="G1213" s="570"/>
    </row>
    <row r="1214" spans="1:7">
      <c r="A1214" s="611"/>
      <c r="B1214" s="611"/>
      <c r="C1214" s="614"/>
      <c r="D1214" s="611"/>
      <c r="E1214" s="611"/>
      <c r="F1214" s="611"/>
      <c r="G1214" s="570"/>
    </row>
    <row r="1215" spans="1:7">
      <c r="A1215" s="613"/>
      <c r="B1215" s="591"/>
      <c r="C1215" s="611"/>
      <c r="D1215" s="611"/>
      <c r="E1215" s="611"/>
      <c r="F1215" s="611"/>
      <c r="G1215" s="570"/>
    </row>
    <row r="1216" spans="1:7">
      <c r="A1216" s="608"/>
      <c r="B1216" s="609"/>
      <c r="C1216" s="611"/>
      <c r="D1216" s="611"/>
      <c r="E1216" s="611"/>
      <c r="F1216" s="611"/>
      <c r="G1216" s="570"/>
    </row>
    <row r="1217" spans="1:10">
      <c r="A1217" s="608"/>
      <c r="B1217" s="615"/>
      <c r="C1217" s="610"/>
      <c r="D1217" s="610"/>
      <c r="E1217" s="610"/>
      <c r="F1217" s="617"/>
      <c r="G1217" s="570"/>
    </row>
    <row r="1218" spans="1:10">
      <c r="A1218" s="611"/>
      <c r="B1218" s="611"/>
      <c r="C1218" s="610"/>
      <c r="D1218" s="610"/>
      <c r="E1218" s="610"/>
      <c r="F1218" s="617"/>
      <c r="G1218" s="570"/>
    </row>
    <row r="1219" spans="1:10">
      <c r="A1219" s="611"/>
      <c r="B1219" s="611"/>
      <c r="C1219" s="612"/>
      <c r="D1219" s="612"/>
      <c r="E1219" s="612"/>
      <c r="F1219" s="612"/>
      <c r="G1219" s="570"/>
    </row>
    <row r="1220" spans="1:10">
      <c r="A1220" s="610"/>
      <c r="B1220" s="610"/>
      <c r="C1220" s="613"/>
      <c r="D1220" s="613"/>
      <c r="E1220" s="618"/>
      <c r="F1220" s="618"/>
      <c r="G1220" s="604"/>
      <c r="H1220" s="604"/>
      <c r="I1220" s="604"/>
      <c r="J1220" s="604"/>
    </row>
    <row r="1221" spans="1:10">
      <c r="A1221" s="610"/>
      <c r="B1221" s="610"/>
      <c r="C1221" s="609"/>
      <c r="D1221" s="609"/>
      <c r="E1221" s="618"/>
      <c r="F1221" s="618"/>
      <c r="G1221" s="604"/>
      <c r="H1221" s="604"/>
      <c r="I1221" s="604"/>
      <c r="J1221" s="604"/>
    </row>
    <row r="1222" spans="1:10">
      <c r="A1222" s="612"/>
      <c r="B1222" s="612"/>
      <c r="C1222" s="609"/>
      <c r="D1222" s="609"/>
      <c r="E1222" s="618"/>
      <c r="F1222" s="618"/>
      <c r="G1222" s="604"/>
      <c r="H1222" s="604"/>
      <c r="I1222" s="604"/>
      <c r="J1222" s="604"/>
    </row>
    <row r="1223" spans="1:10">
      <c r="A1223" s="613"/>
      <c r="B1223" s="613"/>
      <c r="C1223" s="609"/>
      <c r="D1223" s="609"/>
      <c r="E1223" s="618"/>
      <c r="F1223" s="618"/>
      <c r="G1223" s="604"/>
      <c r="H1223" s="604"/>
      <c r="I1223" s="604"/>
      <c r="J1223" s="604"/>
    </row>
    <row r="1224" spans="1:10">
      <c r="A1224" s="613"/>
      <c r="B1224" s="609"/>
      <c r="C1224" s="609"/>
      <c r="D1224" s="609"/>
      <c r="E1224" s="618"/>
      <c r="F1224" s="618"/>
      <c r="G1224" s="604"/>
      <c r="H1224" s="604"/>
      <c r="I1224" s="604"/>
      <c r="J1224" s="604"/>
    </row>
    <row r="1225" spans="1:10">
      <c r="A1225" s="613"/>
      <c r="B1225" s="609"/>
      <c r="C1225" s="609"/>
      <c r="D1225" s="609"/>
      <c r="E1225" s="618"/>
      <c r="F1225" s="618"/>
      <c r="G1225" s="604"/>
      <c r="H1225" s="604"/>
      <c r="I1225" s="604"/>
      <c r="J1225" s="604"/>
    </row>
    <row r="1226" spans="1:10">
      <c r="A1226" s="613"/>
      <c r="B1226" s="609"/>
      <c r="C1226" s="609"/>
      <c r="D1226" s="609"/>
      <c r="E1226" s="618"/>
      <c r="F1226" s="618"/>
      <c r="G1226" s="604"/>
      <c r="H1226" s="604"/>
      <c r="I1226" s="604"/>
      <c r="J1226" s="604"/>
    </row>
    <row r="1227" spans="1:10">
      <c r="A1227" s="613"/>
      <c r="B1227" s="609"/>
      <c r="C1227" s="618"/>
      <c r="D1227" s="615"/>
      <c r="E1227" s="614"/>
      <c r="F1227" s="618"/>
      <c r="G1227" s="604"/>
      <c r="H1227" s="604"/>
      <c r="I1227" s="604"/>
      <c r="J1227" s="604"/>
    </row>
    <row r="1228" spans="1:10">
      <c r="A1228" s="613"/>
      <c r="B1228" s="609"/>
      <c r="C1228" s="618"/>
      <c r="D1228" s="618"/>
      <c r="E1228" s="618"/>
      <c r="F1228" s="618"/>
      <c r="G1228" s="604"/>
      <c r="H1228" s="604"/>
      <c r="I1228" s="604"/>
      <c r="J1228" s="604"/>
    </row>
    <row r="1229" spans="1:10">
      <c r="A1229" s="613"/>
      <c r="B1229" s="609"/>
      <c r="C1229" s="610"/>
      <c r="D1229" s="610"/>
      <c r="E1229" s="610"/>
      <c r="F1229" s="617"/>
      <c r="G1229" s="570"/>
    </row>
    <row r="1230" spans="1:10">
      <c r="A1230" s="613"/>
      <c r="B1230" s="613"/>
      <c r="C1230" s="610"/>
      <c r="D1230" s="610"/>
      <c r="E1230" s="610"/>
      <c r="F1230" s="617"/>
      <c r="G1230" s="570"/>
    </row>
    <row r="1231" spans="1:10">
      <c r="A1231" s="613"/>
      <c r="B1231" s="613"/>
      <c r="C1231" s="617"/>
      <c r="D1231" s="617"/>
      <c r="E1231" s="617"/>
      <c r="F1231" s="617"/>
      <c r="G1231" s="570"/>
    </row>
    <row r="1232" spans="1:10">
      <c r="A1232" s="610"/>
      <c r="B1232" s="610"/>
      <c r="C1232" s="613"/>
      <c r="D1232" s="613"/>
      <c r="E1232" s="612"/>
      <c r="F1232" s="612"/>
      <c r="G1232" s="570"/>
    </row>
    <row r="1233" spans="1:7">
      <c r="A1233" s="610"/>
      <c r="B1233" s="610"/>
      <c r="C1233" s="609"/>
      <c r="D1233" s="609"/>
      <c r="E1233" s="612"/>
      <c r="F1233" s="612"/>
      <c r="G1233" s="570"/>
    </row>
    <row r="1234" spans="1:7">
      <c r="A1234" s="617"/>
      <c r="B1234" s="617"/>
      <c r="C1234" s="609"/>
      <c r="D1234" s="609"/>
      <c r="E1234" s="612"/>
      <c r="F1234" s="612"/>
      <c r="G1234" s="570"/>
    </row>
    <row r="1235" spans="1:7">
      <c r="A1235" s="613"/>
      <c r="B1235" s="613"/>
      <c r="C1235" s="609"/>
      <c r="D1235" s="609"/>
      <c r="E1235" s="612"/>
      <c r="F1235" s="612"/>
      <c r="G1235" s="570"/>
    </row>
    <row r="1236" spans="1:7">
      <c r="A1236" s="608"/>
      <c r="B1236" s="578"/>
      <c r="C1236" s="609"/>
      <c r="D1236" s="609"/>
      <c r="E1236" s="612"/>
      <c r="F1236" s="612"/>
      <c r="G1236" s="570"/>
    </row>
    <row r="1237" spans="1:7">
      <c r="A1237" s="608"/>
      <c r="B1237" s="578"/>
      <c r="C1237" s="576"/>
      <c r="D1237" s="615"/>
      <c r="E1237" s="614"/>
      <c r="F1237" s="612"/>
      <c r="G1237" s="570"/>
    </row>
    <row r="1238" spans="1:7">
      <c r="A1238" s="608"/>
      <c r="B1238" s="578"/>
      <c r="C1238" s="612"/>
      <c r="D1238" s="612"/>
      <c r="E1238" s="612"/>
      <c r="F1238" s="612"/>
      <c r="G1238" s="570"/>
    </row>
    <row r="1239" spans="1:7">
      <c r="A1239" s="608"/>
      <c r="B1239" s="578"/>
      <c r="C1239" s="612"/>
      <c r="D1239" s="612"/>
      <c r="E1239" s="612"/>
      <c r="F1239" s="612"/>
      <c r="G1239" s="570"/>
    </row>
    <row r="1240" spans="1:7">
      <c r="A1240" s="601"/>
      <c r="B1240" s="575"/>
      <c r="C1240" s="612"/>
      <c r="D1240" s="612"/>
      <c r="E1240" s="612"/>
      <c r="F1240" s="612"/>
      <c r="G1240" s="570"/>
    </row>
    <row r="1241" spans="1:7">
      <c r="A1241" s="612"/>
      <c r="B1241" s="612"/>
      <c r="C1241" s="612"/>
      <c r="D1241" s="612"/>
      <c r="E1241" s="612"/>
      <c r="F1241" s="612"/>
      <c r="G1241" s="570"/>
    </row>
    <row r="1242" spans="1:7">
      <c r="A1242" s="611"/>
      <c r="B1242" s="611"/>
      <c r="C1242" s="615"/>
      <c r="D1242" s="614"/>
      <c r="E1242" s="612"/>
      <c r="F1242" s="612"/>
      <c r="G1242" s="570"/>
    </row>
    <row r="1243" spans="1:7">
      <c r="A1243" s="611"/>
      <c r="B1243" s="611"/>
      <c r="C1243" s="612"/>
      <c r="D1243" s="612"/>
      <c r="E1243" s="612"/>
      <c r="F1243" s="612"/>
      <c r="G1243" s="570"/>
    </row>
    <row r="1244" spans="1:7">
      <c r="A1244" s="611"/>
      <c r="B1244" s="611"/>
      <c r="C1244" s="612"/>
      <c r="D1244" s="612"/>
      <c r="E1244" s="612"/>
      <c r="F1244" s="612"/>
      <c r="G1244" s="570"/>
    </row>
    <row r="1245" spans="1:7">
      <c r="A1245" s="613"/>
      <c r="B1245" s="613"/>
      <c r="C1245" s="612"/>
      <c r="D1245" s="612"/>
      <c r="E1245" s="612"/>
      <c r="F1245" s="612"/>
      <c r="G1245" s="570"/>
    </row>
    <row r="1246" spans="1:7">
      <c r="A1246" s="611"/>
      <c r="B1246" s="611"/>
      <c r="C1246" s="612"/>
      <c r="D1246" s="612"/>
      <c r="E1246" s="612"/>
      <c r="F1246" s="612"/>
      <c r="G1246" s="570"/>
    </row>
    <row r="1247" spans="1:7">
      <c r="A1247" s="611"/>
      <c r="B1247" s="611"/>
      <c r="C1247" s="615"/>
      <c r="D1247" s="614"/>
      <c r="E1247" s="612"/>
      <c r="F1247" s="612"/>
      <c r="G1247" s="570"/>
    </row>
    <row r="1248" spans="1:7">
      <c r="A1248" s="611"/>
      <c r="B1248" s="611"/>
      <c r="C1248" s="612"/>
      <c r="D1248" s="612"/>
      <c r="E1248" s="612"/>
      <c r="F1248" s="612"/>
      <c r="G1248" s="570"/>
    </row>
    <row r="1249" spans="1:10">
      <c r="A1249" s="611"/>
      <c r="B1249" s="611"/>
      <c r="C1249" s="612"/>
      <c r="D1249" s="612"/>
      <c r="E1249" s="612"/>
      <c r="F1249" s="612"/>
      <c r="G1249" s="570"/>
    </row>
    <row r="1250" spans="1:10">
      <c r="A1250" s="613"/>
      <c r="B1250" s="613"/>
      <c r="C1250" s="619"/>
      <c r="D1250" s="619"/>
      <c r="E1250" s="619"/>
      <c r="F1250" s="620"/>
      <c r="G1250" s="533"/>
      <c r="H1250" s="530"/>
      <c r="I1250" s="530"/>
      <c r="J1250" s="530"/>
    </row>
    <row r="1251" spans="1:10">
      <c r="A1251" s="612"/>
      <c r="B1251" s="612"/>
      <c r="C1251" s="612"/>
      <c r="D1251" s="612"/>
      <c r="E1251" s="612"/>
      <c r="F1251" s="612"/>
      <c r="G1251" s="570"/>
    </row>
    <row r="1252" spans="1:10">
      <c r="A1252" s="611"/>
      <c r="B1252" s="611"/>
      <c r="C1252" s="612"/>
      <c r="D1252" s="612"/>
      <c r="E1252" s="612"/>
      <c r="F1252" s="612"/>
      <c r="G1252" s="570"/>
    </row>
    <row r="1253" spans="1:10">
      <c r="A1253" s="619"/>
      <c r="B1253" s="619"/>
      <c r="C1253" s="612"/>
      <c r="D1253" s="612"/>
      <c r="E1253" s="612"/>
      <c r="F1253" s="612"/>
      <c r="G1253" s="570"/>
    </row>
    <row r="1254" spans="1:10">
      <c r="A1254" s="612"/>
      <c r="B1254" s="612"/>
      <c r="C1254" s="612"/>
      <c r="D1254" s="612"/>
      <c r="E1254" s="612"/>
      <c r="F1254" s="612"/>
      <c r="G1254" s="570"/>
    </row>
    <row r="1255" spans="1:10">
      <c r="A1255" s="613"/>
      <c r="B1255" s="613"/>
      <c r="C1255" s="612"/>
      <c r="D1255" s="612"/>
      <c r="E1255" s="612"/>
      <c r="F1255" s="612"/>
      <c r="G1255" s="570"/>
    </row>
    <row r="1256" spans="1:10">
      <c r="A1256" s="613"/>
      <c r="B1256" s="609"/>
      <c r="C1256" s="614"/>
      <c r="D1256" s="612"/>
      <c r="E1256" s="612"/>
      <c r="F1256" s="612"/>
      <c r="G1256" s="570"/>
    </row>
    <row r="1257" spans="1:10">
      <c r="A1257" s="608"/>
      <c r="B1257" s="609"/>
      <c r="C1257" s="576"/>
      <c r="D1257" s="612"/>
      <c r="E1257" s="612"/>
      <c r="F1257" s="612"/>
      <c r="G1257" s="570"/>
    </row>
    <row r="1258" spans="1:10">
      <c r="A1258" s="608"/>
      <c r="B1258" s="609"/>
      <c r="C1258" s="617"/>
      <c r="D1258" s="617"/>
      <c r="E1258" s="617"/>
      <c r="F1258" s="617"/>
      <c r="G1258" s="570"/>
    </row>
    <row r="1259" spans="1:10">
      <c r="A1259" s="621"/>
      <c r="B1259" s="615"/>
      <c r="C1259" s="612"/>
      <c r="D1259" s="612"/>
      <c r="E1259" s="612"/>
      <c r="F1259" s="612"/>
      <c r="G1259" s="570"/>
    </row>
    <row r="1260" spans="1:10">
      <c r="A1260" s="621"/>
      <c r="B1260" s="575"/>
      <c r="C1260" s="615"/>
      <c r="D1260" s="614"/>
      <c r="E1260" s="601"/>
      <c r="F1260" s="601"/>
      <c r="G1260" s="574"/>
      <c r="H1260" s="574"/>
      <c r="I1260" s="574"/>
      <c r="J1260" s="574"/>
    </row>
    <row r="1261" spans="1:10">
      <c r="A1261" s="617"/>
      <c r="B1261" s="617"/>
      <c r="C1261" s="601"/>
      <c r="D1261" s="601"/>
      <c r="E1261" s="601"/>
      <c r="F1261" s="601"/>
      <c r="G1261" s="574"/>
      <c r="H1261" s="574"/>
      <c r="I1261" s="574"/>
      <c r="J1261" s="574"/>
    </row>
    <row r="1262" spans="1:10">
      <c r="A1262" s="612"/>
      <c r="B1262" s="612"/>
      <c r="C1262" s="619"/>
      <c r="D1262" s="601"/>
      <c r="E1262" s="601"/>
      <c r="F1262" s="601"/>
      <c r="G1262" s="574"/>
      <c r="H1262" s="574"/>
      <c r="I1262" s="574"/>
      <c r="J1262" s="574"/>
    </row>
    <row r="1263" spans="1:10">
      <c r="A1263" s="591"/>
      <c r="B1263" s="591"/>
      <c r="C1263" s="612"/>
      <c r="D1263" s="601"/>
      <c r="E1263" s="601"/>
      <c r="F1263" s="601"/>
      <c r="G1263" s="574"/>
      <c r="H1263" s="574"/>
      <c r="I1263" s="574"/>
      <c r="J1263" s="574"/>
    </row>
    <row r="1264" spans="1:10">
      <c r="A1264" s="591"/>
      <c r="B1264" s="578"/>
      <c r="C1264" s="612"/>
      <c r="D1264" s="601"/>
      <c r="E1264" s="601"/>
      <c r="F1264" s="601"/>
      <c r="G1264" s="574"/>
      <c r="H1264" s="574"/>
      <c r="I1264" s="574"/>
      <c r="J1264" s="574"/>
    </row>
    <row r="1265" spans="1:10">
      <c r="A1265" s="619"/>
      <c r="B1265" s="619"/>
      <c r="C1265" s="612"/>
      <c r="D1265" s="601"/>
      <c r="E1265" s="601"/>
      <c r="F1265" s="601"/>
      <c r="G1265" s="574"/>
      <c r="H1265" s="574"/>
      <c r="I1265" s="574"/>
      <c r="J1265" s="574"/>
    </row>
    <row r="1266" spans="1:10">
      <c r="A1266" s="612"/>
      <c r="B1266" s="612"/>
      <c r="C1266" s="612"/>
      <c r="D1266" s="601"/>
      <c r="E1266" s="601"/>
      <c r="F1266" s="601"/>
      <c r="G1266" s="574"/>
      <c r="H1266" s="574"/>
      <c r="I1266" s="574"/>
      <c r="J1266" s="574"/>
    </row>
    <row r="1267" spans="1:10">
      <c r="A1267" s="613"/>
      <c r="B1267" s="613"/>
      <c r="C1267" s="614"/>
      <c r="D1267" s="601"/>
      <c r="E1267" s="601"/>
      <c r="F1267" s="601"/>
      <c r="G1267" s="574"/>
      <c r="H1267" s="574"/>
      <c r="I1267" s="574"/>
      <c r="J1267" s="574"/>
    </row>
    <row r="1268" spans="1:10">
      <c r="A1268" s="613"/>
      <c r="B1268" s="609"/>
      <c r="C1268" s="601"/>
      <c r="D1268" s="601"/>
      <c r="E1268" s="601"/>
      <c r="F1268" s="601"/>
      <c r="G1268" s="574"/>
      <c r="H1268" s="574"/>
      <c r="I1268" s="574"/>
      <c r="J1268" s="574"/>
    </row>
    <row r="1269" spans="1:10">
      <c r="A1269" s="613"/>
      <c r="B1269" s="609"/>
      <c r="C1269" s="617"/>
      <c r="D1269" s="617"/>
      <c r="E1269" s="601"/>
      <c r="F1269" s="601"/>
      <c r="G1269" s="574"/>
      <c r="H1269" s="574"/>
      <c r="I1269" s="574"/>
      <c r="J1269" s="574"/>
    </row>
    <row r="1270" spans="1:10">
      <c r="A1270" s="621"/>
      <c r="B1270" s="615"/>
      <c r="C1270" s="612"/>
      <c r="D1270" s="612"/>
      <c r="E1270" s="601"/>
      <c r="F1270" s="601"/>
      <c r="G1270" s="574"/>
      <c r="H1270" s="574"/>
      <c r="I1270" s="574"/>
      <c r="J1270" s="574"/>
    </row>
    <row r="1271" spans="1:10">
      <c r="A1271" s="602"/>
      <c r="B1271" s="578"/>
      <c r="C1271" s="615"/>
      <c r="D1271" s="614"/>
      <c r="E1271" s="612"/>
      <c r="F1271" s="612"/>
      <c r="G1271" s="570"/>
    </row>
    <row r="1272" spans="1:10">
      <c r="A1272" s="617"/>
      <c r="B1272" s="617"/>
      <c r="C1272" s="612"/>
      <c r="D1272" s="612"/>
      <c r="E1272" s="612"/>
      <c r="F1272" s="612"/>
      <c r="G1272" s="570"/>
    </row>
    <row r="1273" spans="1:10">
      <c r="A1273" s="612"/>
      <c r="B1273" s="612"/>
      <c r="C1273" s="617"/>
      <c r="D1273" s="617"/>
      <c r="E1273" s="617"/>
      <c r="F1273" s="617"/>
      <c r="G1273" s="570"/>
    </row>
    <row r="1274" spans="1:10">
      <c r="A1274" s="591"/>
      <c r="B1274" s="591"/>
      <c r="C1274" s="612"/>
      <c r="D1274" s="612"/>
      <c r="E1274" s="612"/>
      <c r="F1274" s="612"/>
      <c r="G1274" s="570"/>
    </row>
    <row r="1275" spans="1:10">
      <c r="A1275" s="612"/>
      <c r="B1275" s="612"/>
      <c r="C1275" s="612"/>
      <c r="D1275" s="612"/>
      <c r="E1275" s="612"/>
      <c r="F1275" s="612"/>
      <c r="G1275" s="570"/>
    </row>
    <row r="1276" spans="1:10">
      <c r="A1276" s="617"/>
      <c r="B1276" s="617"/>
      <c r="C1276" s="612"/>
      <c r="D1276" s="612"/>
      <c r="E1276" s="612"/>
      <c r="F1276" s="612"/>
      <c r="G1276" s="570"/>
    </row>
    <row r="1277" spans="1:10">
      <c r="A1277" s="612"/>
      <c r="B1277" s="612"/>
      <c r="C1277" s="612"/>
      <c r="D1277" s="612"/>
      <c r="E1277" s="612"/>
      <c r="F1277" s="612"/>
      <c r="G1277" s="570"/>
    </row>
    <row r="1278" spans="1:10">
      <c r="A1278" s="613"/>
      <c r="B1278" s="613"/>
      <c r="C1278" s="612"/>
      <c r="D1278" s="612"/>
      <c r="E1278" s="612"/>
      <c r="F1278" s="612"/>
      <c r="G1278" s="570"/>
    </row>
    <row r="1279" spans="1:10">
      <c r="A1279" s="613"/>
      <c r="B1279" s="609"/>
      <c r="C1279" s="614"/>
      <c r="D1279" s="612"/>
      <c r="E1279" s="612"/>
      <c r="F1279" s="612"/>
      <c r="G1279" s="570"/>
    </row>
    <row r="1280" spans="1:10">
      <c r="A1280" s="613"/>
      <c r="B1280" s="609"/>
      <c r="C1280" s="601"/>
      <c r="D1280" s="612"/>
      <c r="E1280" s="612"/>
      <c r="F1280" s="612"/>
      <c r="G1280" s="570"/>
    </row>
    <row r="1281" spans="1:10">
      <c r="A1281" s="613"/>
      <c r="B1281" s="609"/>
      <c r="C1281" s="617"/>
      <c r="D1281" s="617"/>
      <c r="E1281" s="617"/>
      <c r="F1281" s="612"/>
      <c r="G1281" s="570"/>
    </row>
    <row r="1282" spans="1:10">
      <c r="A1282" s="621"/>
      <c r="B1282" s="615"/>
      <c r="C1282" s="601"/>
      <c r="D1282" s="612"/>
      <c r="E1282" s="612"/>
      <c r="F1282" s="612"/>
      <c r="G1282" s="570"/>
    </row>
    <row r="1283" spans="1:10">
      <c r="A1283" s="602"/>
      <c r="B1283" s="578"/>
      <c r="C1283" s="615"/>
      <c r="D1283" s="614"/>
      <c r="E1283" s="612"/>
      <c r="F1283" s="612"/>
      <c r="G1283" s="570"/>
    </row>
    <row r="1284" spans="1:10">
      <c r="A1284" s="617"/>
      <c r="B1284" s="617"/>
      <c r="C1284" s="601"/>
      <c r="D1284" s="612"/>
      <c r="E1284" s="612"/>
      <c r="F1284" s="612"/>
      <c r="G1284" s="570"/>
    </row>
    <row r="1285" spans="1:10">
      <c r="A1285" s="602"/>
      <c r="B1285" s="589"/>
      <c r="C1285" s="617"/>
      <c r="D1285" s="617"/>
      <c r="E1285" s="617"/>
      <c r="F1285" s="617"/>
      <c r="G1285" s="570"/>
    </row>
    <row r="1286" spans="1:10">
      <c r="A1286" s="591"/>
      <c r="B1286" s="591"/>
      <c r="C1286" s="576"/>
      <c r="D1286" s="612"/>
      <c r="E1286" s="612"/>
      <c r="F1286" s="612"/>
      <c r="G1286" s="570"/>
    </row>
    <row r="1287" spans="1:10">
      <c r="A1287" s="602"/>
      <c r="B1287" s="578"/>
      <c r="C1287" s="576"/>
      <c r="D1287" s="612"/>
      <c r="E1287" s="612"/>
      <c r="F1287" s="612"/>
      <c r="G1287" s="570"/>
    </row>
    <row r="1288" spans="1:10">
      <c r="A1288" s="617"/>
      <c r="B1288" s="617"/>
      <c r="C1288" s="576"/>
      <c r="D1288" s="612"/>
      <c r="E1288" s="612"/>
      <c r="F1288" s="612"/>
      <c r="G1288" s="570"/>
    </row>
    <row r="1289" spans="1:10">
      <c r="A1289" s="601"/>
      <c r="B1289" s="575"/>
      <c r="C1289" s="576"/>
      <c r="D1289" s="612"/>
      <c r="E1289" s="612"/>
      <c r="F1289" s="612"/>
      <c r="G1289" s="570"/>
    </row>
    <row r="1290" spans="1:10">
      <c r="A1290" s="613"/>
      <c r="B1290" s="613"/>
      <c r="C1290" s="576"/>
      <c r="D1290" s="612"/>
      <c r="E1290" s="612"/>
      <c r="F1290" s="612"/>
      <c r="G1290" s="570"/>
    </row>
    <row r="1291" spans="1:10">
      <c r="A1291" s="613"/>
      <c r="B1291" s="609"/>
      <c r="C1291" s="576"/>
      <c r="D1291" s="612"/>
      <c r="E1291" s="612"/>
      <c r="F1291" s="612"/>
      <c r="G1291" s="570"/>
    </row>
    <row r="1292" spans="1:10">
      <c r="A1292" s="613"/>
      <c r="B1292" s="609"/>
      <c r="C1292" s="576"/>
      <c r="D1292" s="612"/>
      <c r="E1292" s="612"/>
      <c r="F1292" s="612"/>
      <c r="G1292" s="570"/>
    </row>
    <row r="1293" spans="1:10">
      <c r="A1293" s="613"/>
      <c r="B1293" s="609"/>
      <c r="C1293" s="576"/>
      <c r="D1293" s="601"/>
      <c r="E1293" s="601"/>
      <c r="F1293" s="601"/>
      <c r="G1293" s="574"/>
      <c r="H1293" s="622"/>
      <c r="I1293" s="622"/>
      <c r="J1293" s="622"/>
    </row>
    <row r="1294" spans="1:10">
      <c r="A1294" s="613"/>
      <c r="B1294" s="609"/>
      <c r="C1294" s="617"/>
      <c r="D1294" s="617"/>
      <c r="E1294" s="617"/>
      <c r="F1294" s="617"/>
      <c r="G1294" s="570"/>
    </row>
    <row r="1295" spans="1:10">
      <c r="A1295" s="608"/>
      <c r="B1295" s="609"/>
      <c r="C1295" s="576"/>
      <c r="D1295" s="612"/>
      <c r="E1295" s="612"/>
      <c r="F1295" s="612"/>
      <c r="G1295" s="570"/>
    </row>
    <row r="1296" spans="1:10">
      <c r="A1296" s="608"/>
      <c r="B1296" s="609"/>
      <c r="C1296" s="614"/>
      <c r="D1296" s="601"/>
      <c r="E1296" s="601"/>
      <c r="F1296" s="601"/>
      <c r="G1296" s="574"/>
      <c r="H1296" s="574"/>
      <c r="I1296" s="574"/>
      <c r="J1296" s="574"/>
    </row>
  </sheetData>
  <mergeCells count="106">
    <mergeCell ref="H35:H40"/>
    <mergeCell ref="I35:I40"/>
    <mergeCell ref="J35:J40"/>
    <mergeCell ref="K35:K40"/>
    <mergeCell ref="L35:L40"/>
    <mergeCell ref="L45:L48"/>
    <mergeCell ref="M9:N9"/>
    <mergeCell ref="M10:N10"/>
    <mergeCell ref="M11:N11"/>
    <mergeCell ref="M12:N12"/>
    <mergeCell ref="M13:N13"/>
    <mergeCell ref="M14:N14"/>
    <mergeCell ref="M22:N22"/>
    <mergeCell ref="M23:N23"/>
    <mergeCell ref="M25:N25"/>
    <mergeCell ref="L12:L15"/>
    <mergeCell ref="H4:H9"/>
    <mergeCell ref="I4:I9"/>
    <mergeCell ref="J4:J9"/>
    <mergeCell ref="K4:K9"/>
    <mergeCell ref="L4:L9"/>
    <mergeCell ref="M16:N16"/>
    <mergeCell ref="M17:N17"/>
    <mergeCell ref="M18:N18"/>
    <mergeCell ref="M19:N19"/>
    <mergeCell ref="M20:N20"/>
    <mergeCell ref="M21:N21"/>
    <mergeCell ref="K29:K34"/>
    <mergeCell ref="L29:L34"/>
    <mergeCell ref="A29:A34"/>
    <mergeCell ref="C29:C34"/>
    <mergeCell ref="D29:D34"/>
    <mergeCell ref="H29:H34"/>
    <mergeCell ref="I29:I34"/>
    <mergeCell ref="J29:J34"/>
    <mergeCell ref="K20:K23"/>
    <mergeCell ref="L20:L23"/>
    <mergeCell ref="A24:A28"/>
    <mergeCell ref="H24:H28"/>
    <mergeCell ref="I24:I28"/>
    <mergeCell ref="J24:J28"/>
    <mergeCell ref="K24:K28"/>
    <mergeCell ref="L24:L28"/>
    <mergeCell ref="A20:A23"/>
    <mergeCell ref="C20:C23"/>
    <mergeCell ref="D20:D23"/>
    <mergeCell ref="H20:H23"/>
    <mergeCell ref="I20:I23"/>
    <mergeCell ref="A53:G53"/>
    <mergeCell ref="K41:K44"/>
    <mergeCell ref="L41:L44"/>
    <mergeCell ref="A49:A52"/>
    <mergeCell ref="C49:C52"/>
    <mergeCell ref="D49:D52"/>
    <mergeCell ref="H49:H52"/>
    <mergeCell ref="I49:I52"/>
    <mergeCell ref="J49:J52"/>
    <mergeCell ref="K49:K52"/>
    <mergeCell ref="L49:L52"/>
    <mergeCell ref="A41:A44"/>
    <mergeCell ref="C41:C44"/>
    <mergeCell ref="D41:D44"/>
    <mergeCell ref="H41:H44"/>
    <mergeCell ref="I41:I44"/>
    <mergeCell ref="J41:J44"/>
    <mergeCell ref="A45:A48"/>
    <mergeCell ref="C45:C48"/>
    <mergeCell ref="D45:D48"/>
    <mergeCell ref="H45:H48"/>
    <mergeCell ref="I45:I48"/>
    <mergeCell ref="J45:J48"/>
    <mergeCell ref="K45:K48"/>
    <mergeCell ref="J20:J23"/>
    <mergeCell ref="H16:H19"/>
    <mergeCell ref="I16:I19"/>
    <mergeCell ref="J16:J19"/>
    <mergeCell ref="K16:K19"/>
    <mergeCell ref="L16:L19"/>
    <mergeCell ref="J10:J11"/>
    <mergeCell ref="K10:K11"/>
    <mergeCell ref="L10:L11"/>
    <mergeCell ref="H12:H15"/>
    <mergeCell ref="I12:I15"/>
    <mergeCell ref="J12:J15"/>
    <mergeCell ref="K12:K15"/>
    <mergeCell ref="A10:A11"/>
    <mergeCell ref="C10:C11"/>
    <mergeCell ref="D10:D11"/>
    <mergeCell ref="H10:H11"/>
    <mergeCell ref="I10:I11"/>
    <mergeCell ref="A2:D2"/>
    <mergeCell ref="F3:G3"/>
    <mergeCell ref="A4:A9"/>
    <mergeCell ref="C4:C9"/>
    <mergeCell ref="D4:D9"/>
    <mergeCell ref="D35:D40"/>
    <mergeCell ref="C35:C40"/>
    <mergeCell ref="A35:A40"/>
    <mergeCell ref="A16:A19"/>
    <mergeCell ref="C16:C19"/>
    <mergeCell ref="D16:D19"/>
    <mergeCell ref="C24:C28"/>
    <mergeCell ref="D24:D28"/>
    <mergeCell ref="A12:A15"/>
    <mergeCell ref="C12:C15"/>
    <mergeCell ref="D12:D15"/>
  </mergeCells>
  <pageMargins left="0.31496062992125984" right="0" top="0.59055118110236227" bottom="0" header="0" footer="0"/>
  <pageSetup paperSize="9" scale="37" orientation="landscape" r:id="rId1"/>
  <drawing r:id="rId2"/>
</worksheet>
</file>

<file path=xl/worksheets/sheet2.xml><?xml version="1.0" encoding="utf-8"?>
<worksheet xmlns="http://schemas.openxmlformats.org/spreadsheetml/2006/main" xmlns:r="http://schemas.openxmlformats.org/officeDocument/2006/relationships">
  <dimension ref="A1:R64"/>
  <sheetViews>
    <sheetView showGridLines="0" showZeros="0" tabSelected="1" view="pageBreakPreview" zoomScaleSheetLayoutView="100" workbookViewId="0">
      <selection activeCell="D1" sqref="D1"/>
    </sheetView>
  </sheetViews>
  <sheetFormatPr defaultRowHeight="12.75"/>
  <cols>
    <col min="1" max="1" width="5.42578125" style="416" bestFit="1" customWidth="1"/>
    <col min="2" max="2" width="17.140625" style="416" customWidth="1"/>
    <col min="3" max="3" width="24.140625" style="416" customWidth="1"/>
    <col min="4" max="4" width="72.28515625" style="416" customWidth="1"/>
    <col min="5" max="5" width="10.140625" style="416" customWidth="1"/>
    <col min="6" max="6" width="15.7109375" style="416" customWidth="1"/>
    <col min="7" max="8" width="15.7109375" style="450" customWidth="1"/>
    <col min="9" max="9" width="17.42578125" style="450" customWidth="1"/>
    <col min="10" max="10" width="11.28515625" style="416" bestFit="1" customWidth="1"/>
    <col min="11" max="12" width="12" style="416" bestFit="1" customWidth="1"/>
    <col min="13" max="13" width="8.85546875" style="416"/>
    <col min="14" max="14" width="20.42578125" style="416" customWidth="1"/>
    <col min="15" max="256" width="8.85546875" style="416"/>
    <col min="257" max="257" width="5.42578125" style="416" bestFit="1" customWidth="1"/>
    <col min="258" max="258" width="17.140625" style="416" customWidth="1"/>
    <col min="259" max="259" width="24.140625" style="416" customWidth="1"/>
    <col min="260" max="260" width="72.28515625" style="416" customWidth="1"/>
    <col min="261" max="261" width="10.140625" style="416" customWidth="1"/>
    <col min="262" max="264" width="15.7109375" style="416" customWidth="1"/>
    <col min="265" max="265" width="17.42578125" style="416" customWidth="1"/>
    <col min="266" max="266" width="11.28515625" style="416" bestFit="1" customWidth="1"/>
    <col min="267" max="268" width="12" style="416" bestFit="1" customWidth="1"/>
    <col min="269" max="269" width="8.85546875" style="416"/>
    <col min="270" max="270" width="20.42578125" style="416" customWidth="1"/>
    <col min="271" max="512" width="8.85546875" style="416"/>
    <col min="513" max="513" width="5.42578125" style="416" bestFit="1" customWidth="1"/>
    <col min="514" max="514" width="17.140625" style="416" customWidth="1"/>
    <col min="515" max="515" width="24.140625" style="416" customWidth="1"/>
    <col min="516" max="516" width="72.28515625" style="416" customWidth="1"/>
    <col min="517" max="517" width="10.140625" style="416" customWidth="1"/>
    <col min="518" max="520" width="15.7109375" style="416" customWidth="1"/>
    <col min="521" max="521" width="17.42578125" style="416" customWidth="1"/>
    <col min="522" max="522" width="11.28515625" style="416" bestFit="1" customWidth="1"/>
    <col min="523" max="524" width="12" style="416" bestFit="1" customWidth="1"/>
    <col min="525" max="525" width="8.85546875" style="416"/>
    <col min="526" max="526" width="20.42578125" style="416" customWidth="1"/>
    <col min="527" max="768" width="8.85546875" style="416"/>
    <col min="769" max="769" width="5.42578125" style="416" bestFit="1" customWidth="1"/>
    <col min="770" max="770" width="17.140625" style="416" customWidth="1"/>
    <col min="771" max="771" width="24.140625" style="416" customWidth="1"/>
    <col min="772" max="772" width="72.28515625" style="416" customWidth="1"/>
    <col min="773" max="773" width="10.140625" style="416" customWidth="1"/>
    <col min="774" max="776" width="15.7109375" style="416" customWidth="1"/>
    <col min="777" max="777" width="17.42578125" style="416" customWidth="1"/>
    <col min="778" max="778" width="11.28515625" style="416" bestFit="1" customWidth="1"/>
    <col min="779" max="780" width="12" style="416" bestFit="1" customWidth="1"/>
    <col min="781" max="781" width="8.85546875" style="416"/>
    <col min="782" max="782" width="20.42578125" style="416" customWidth="1"/>
    <col min="783" max="1024" width="8.85546875" style="416"/>
    <col min="1025" max="1025" width="5.42578125" style="416" bestFit="1" customWidth="1"/>
    <col min="1026" max="1026" width="17.140625" style="416" customWidth="1"/>
    <col min="1027" max="1027" width="24.140625" style="416" customWidth="1"/>
    <col min="1028" max="1028" width="72.28515625" style="416" customWidth="1"/>
    <col min="1029" max="1029" width="10.140625" style="416" customWidth="1"/>
    <col min="1030" max="1032" width="15.7109375" style="416" customWidth="1"/>
    <col min="1033" max="1033" width="17.42578125" style="416" customWidth="1"/>
    <col min="1034" max="1034" width="11.28515625" style="416" bestFit="1" customWidth="1"/>
    <col min="1035" max="1036" width="12" style="416" bestFit="1" customWidth="1"/>
    <col min="1037" max="1037" width="8.85546875" style="416"/>
    <col min="1038" max="1038" width="20.42578125" style="416" customWidth="1"/>
    <col min="1039" max="1280" width="8.85546875" style="416"/>
    <col min="1281" max="1281" width="5.42578125" style="416" bestFit="1" customWidth="1"/>
    <col min="1282" max="1282" width="17.140625" style="416" customWidth="1"/>
    <col min="1283" max="1283" width="24.140625" style="416" customWidth="1"/>
    <col min="1284" max="1284" width="72.28515625" style="416" customWidth="1"/>
    <col min="1285" max="1285" width="10.140625" style="416" customWidth="1"/>
    <col min="1286" max="1288" width="15.7109375" style="416" customWidth="1"/>
    <col min="1289" max="1289" width="17.42578125" style="416" customWidth="1"/>
    <col min="1290" max="1290" width="11.28515625" style="416" bestFit="1" customWidth="1"/>
    <col min="1291" max="1292" width="12" style="416" bestFit="1" customWidth="1"/>
    <col min="1293" max="1293" width="8.85546875" style="416"/>
    <col min="1294" max="1294" width="20.42578125" style="416" customWidth="1"/>
    <col min="1295" max="1536" width="8.85546875" style="416"/>
    <col min="1537" max="1537" width="5.42578125" style="416" bestFit="1" customWidth="1"/>
    <col min="1538" max="1538" width="17.140625" style="416" customWidth="1"/>
    <col min="1539" max="1539" width="24.140625" style="416" customWidth="1"/>
    <col min="1540" max="1540" width="72.28515625" style="416" customWidth="1"/>
    <col min="1541" max="1541" width="10.140625" style="416" customWidth="1"/>
    <col min="1542" max="1544" width="15.7109375" style="416" customWidth="1"/>
    <col min="1545" max="1545" width="17.42578125" style="416" customWidth="1"/>
    <col min="1546" max="1546" width="11.28515625" style="416" bestFit="1" customWidth="1"/>
    <col min="1547" max="1548" width="12" style="416" bestFit="1" customWidth="1"/>
    <col min="1549" max="1549" width="8.85546875" style="416"/>
    <col min="1550" max="1550" width="20.42578125" style="416" customWidth="1"/>
    <col min="1551" max="1792" width="8.85546875" style="416"/>
    <col min="1793" max="1793" width="5.42578125" style="416" bestFit="1" customWidth="1"/>
    <col min="1794" max="1794" width="17.140625" style="416" customWidth="1"/>
    <col min="1795" max="1795" width="24.140625" style="416" customWidth="1"/>
    <col min="1796" max="1796" width="72.28515625" style="416" customWidth="1"/>
    <col min="1797" max="1797" width="10.140625" style="416" customWidth="1"/>
    <col min="1798" max="1800" width="15.7109375" style="416" customWidth="1"/>
    <col min="1801" max="1801" width="17.42578125" style="416" customWidth="1"/>
    <col min="1802" max="1802" width="11.28515625" style="416" bestFit="1" customWidth="1"/>
    <col min="1803" max="1804" width="12" style="416" bestFit="1" customWidth="1"/>
    <col min="1805" max="1805" width="8.85546875" style="416"/>
    <col min="1806" max="1806" width="20.42578125" style="416" customWidth="1"/>
    <col min="1807" max="2048" width="8.85546875" style="416"/>
    <col min="2049" max="2049" width="5.42578125" style="416" bestFit="1" customWidth="1"/>
    <col min="2050" max="2050" width="17.140625" style="416" customWidth="1"/>
    <col min="2051" max="2051" width="24.140625" style="416" customWidth="1"/>
    <col min="2052" max="2052" width="72.28515625" style="416" customWidth="1"/>
    <col min="2053" max="2053" width="10.140625" style="416" customWidth="1"/>
    <col min="2054" max="2056" width="15.7109375" style="416" customWidth="1"/>
    <col min="2057" max="2057" width="17.42578125" style="416" customWidth="1"/>
    <col min="2058" max="2058" width="11.28515625" style="416" bestFit="1" customWidth="1"/>
    <col min="2059" max="2060" width="12" style="416" bestFit="1" customWidth="1"/>
    <col min="2061" max="2061" width="8.85546875" style="416"/>
    <col min="2062" max="2062" width="20.42578125" style="416" customWidth="1"/>
    <col min="2063" max="2304" width="8.85546875" style="416"/>
    <col min="2305" max="2305" width="5.42578125" style="416" bestFit="1" customWidth="1"/>
    <col min="2306" max="2306" width="17.140625" style="416" customWidth="1"/>
    <col min="2307" max="2307" width="24.140625" style="416" customWidth="1"/>
    <col min="2308" max="2308" width="72.28515625" style="416" customWidth="1"/>
    <col min="2309" max="2309" width="10.140625" style="416" customWidth="1"/>
    <col min="2310" max="2312" width="15.7109375" style="416" customWidth="1"/>
    <col min="2313" max="2313" width="17.42578125" style="416" customWidth="1"/>
    <col min="2314" max="2314" width="11.28515625" style="416" bestFit="1" customWidth="1"/>
    <col min="2315" max="2316" width="12" style="416" bestFit="1" customWidth="1"/>
    <col min="2317" max="2317" width="8.85546875" style="416"/>
    <col min="2318" max="2318" width="20.42578125" style="416" customWidth="1"/>
    <col min="2319" max="2560" width="8.85546875" style="416"/>
    <col min="2561" max="2561" width="5.42578125" style="416" bestFit="1" customWidth="1"/>
    <col min="2562" max="2562" width="17.140625" style="416" customWidth="1"/>
    <col min="2563" max="2563" width="24.140625" style="416" customWidth="1"/>
    <col min="2564" max="2564" width="72.28515625" style="416" customWidth="1"/>
    <col min="2565" max="2565" width="10.140625" style="416" customWidth="1"/>
    <col min="2566" max="2568" width="15.7109375" style="416" customWidth="1"/>
    <col min="2569" max="2569" width="17.42578125" style="416" customWidth="1"/>
    <col min="2570" max="2570" width="11.28515625" style="416" bestFit="1" customWidth="1"/>
    <col min="2571" max="2572" width="12" style="416" bestFit="1" customWidth="1"/>
    <col min="2573" max="2573" width="8.85546875" style="416"/>
    <col min="2574" max="2574" width="20.42578125" style="416" customWidth="1"/>
    <col min="2575" max="2816" width="8.85546875" style="416"/>
    <col min="2817" max="2817" width="5.42578125" style="416" bestFit="1" customWidth="1"/>
    <col min="2818" max="2818" width="17.140625" style="416" customWidth="1"/>
    <col min="2819" max="2819" width="24.140625" style="416" customWidth="1"/>
    <col min="2820" max="2820" width="72.28515625" style="416" customWidth="1"/>
    <col min="2821" max="2821" width="10.140625" style="416" customWidth="1"/>
    <col min="2822" max="2824" width="15.7109375" style="416" customWidth="1"/>
    <col min="2825" max="2825" width="17.42578125" style="416" customWidth="1"/>
    <col min="2826" max="2826" width="11.28515625" style="416" bestFit="1" customWidth="1"/>
    <col min="2827" max="2828" width="12" style="416" bestFit="1" customWidth="1"/>
    <col min="2829" max="2829" width="8.85546875" style="416"/>
    <col min="2830" max="2830" width="20.42578125" style="416" customWidth="1"/>
    <col min="2831" max="3072" width="8.85546875" style="416"/>
    <col min="3073" max="3073" width="5.42578125" style="416" bestFit="1" customWidth="1"/>
    <col min="3074" max="3074" width="17.140625" style="416" customWidth="1"/>
    <col min="3075" max="3075" width="24.140625" style="416" customWidth="1"/>
    <col min="3076" max="3076" width="72.28515625" style="416" customWidth="1"/>
    <col min="3077" max="3077" width="10.140625" style="416" customWidth="1"/>
    <col min="3078" max="3080" width="15.7109375" style="416" customWidth="1"/>
    <col min="3081" max="3081" width="17.42578125" style="416" customWidth="1"/>
    <col min="3082" max="3082" width="11.28515625" style="416" bestFit="1" customWidth="1"/>
    <col min="3083" max="3084" width="12" style="416" bestFit="1" customWidth="1"/>
    <col min="3085" max="3085" width="8.85546875" style="416"/>
    <col min="3086" max="3086" width="20.42578125" style="416" customWidth="1"/>
    <col min="3087" max="3328" width="8.85546875" style="416"/>
    <col min="3329" max="3329" width="5.42578125" style="416" bestFit="1" customWidth="1"/>
    <col min="3330" max="3330" width="17.140625" style="416" customWidth="1"/>
    <col min="3331" max="3331" width="24.140625" style="416" customWidth="1"/>
    <col min="3332" max="3332" width="72.28515625" style="416" customWidth="1"/>
    <col min="3333" max="3333" width="10.140625" style="416" customWidth="1"/>
    <col min="3334" max="3336" width="15.7109375" style="416" customWidth="1"/>
    <col min="3337" max="3337" width="17.42578125" style="416" customWidth="1"/>
    <col min="3338" max="3338" width="11.28515625" style="416" bestFit="1" customWidth="1"/>
    <col min="3339" max="3340" width="12" style="416" bestFit="1" customWidth="1"/>
    <col min="3341" max="3341" width="8.85546875" style="416"/>
    <col min="3342" max="3342" width="20.42578125" style="416" customWidth="1"/>
    <col min="3343" max="3584" width="8.85546875" style="416"/>
    <col min="3585" max="3585" width="5.42578125" style="416" bestFit="1" customWidth="1"/>
    <col min="3586" max="3586" width="17.140625" style="416" customWidth="1"/>
    <col min="3587" max="3587" width="24.140625" style="416" customWidth="1"/>
    <col min="3588" max="3588" width="72.28515625" style="416" customWidth="1"/>
    <col min="3589" max="3589" width="10.140625" style="416" customWidth="1"/>
    <col min="3590" max="3592" width="15.7109375" style="416" customWidth="1"/>
    <col min="3593" max="3593" width="17.42578125" style="416" customWidth="1"/>
    <col min="3594" max="3594" width="11.28515625" style="416" bestFit="1" customWidth="1"/>
    <col min="3595" max="3596" width="12" style="416" bestFit="1" customWidth="1"/>
    <col min="3597" max="3597" width="8.85546875" style="416"/>
    <col min="3598" max="3598" width="20.42578125" style="416" customWidth="1"/>
    <col min="3599" max="3840" width="8.85546875" style="416"/>
    <col min="3841" max="3841" width="5.42578125" style="416" bestFit="1" customWidth="1"/>
    <col min="3842" max="3842" width="17.140625" style="416" customWidth="1"/>
    <col min="3843" max="3843" width="24.140625" style="416" customWidth="1"/>
    <col min="3844" max="3844" width="72.28515625" style="416" customWidth="1"/>
    <col min="3845" max="3845" width="10.140625" style="416" customWidth="1"/>
    <col min="3846" max="3848" width="15.7109375" style="416" customWidth="1"/>
    <col min="3849" max="3849" width="17.42578125" style="416" customWidth="1"/>
    <col min="3850" max="3850" width="11.28515625" style="416" bestFit="1" customWidth="1"/>
    <col min="3851" max="3852" width="12" style="416" bestFit="1" customWidth="1"/>
    <col min="3853" max="3853" width="8.85546875" style="416"/>
    <col min="3854" max="3854" width="20.42578125" style="416" customWidth="1"/>
    <col min="3855" max="4096" width="8.85546875" style="416"/>
    <col min="4097" max="4097" width="5.42578125" style="416" bestFit="1" customWidth="1"/>
    <col min="4098" max="4098" width="17.140625" style="416" customWidth="1"/>
    <col min="4099" max="4099" width="24.140625" style="416" customWidth="1"/>
    <col min="4100" max="4100" width="72.28515625" style="416" customWidth="1"/>
    <col min="4101" max="4101" width="10.140625" style="416" customWidth="1"/>
    <col min="4102" max="4104" width="15.7109375" style="416" customWidth="1"/>
    <col min="4105" max="4105" width="17.42578125" style="416" customWidth="1"/>
    <col min="4106" max="4106" width="11.28515625" style="416" bestFit="1" customWidth="1"/>
    <col min="4107" max="4108" width="12" style="416" bestFit="1" customWidth="1"/>
    <col min="4109" max="4109" width="8.85546875" style="416"/>
    <col min="4110" max="4110" width="20.42578125" style="416" customWidth="1"/>
    <col min="4111" max="4352" width="8.85546875" style="416"/>
    <col min="4353" max="4353" width="5.42578125" style="416" bestFit="1" customWidth="1"/>
    <col min="4354" max="4354" width="17.140625" style="416" customWidth="1"/>
    <col min="4355" max="4355" width="24.140625" style="416" customWidth="1"/>
    <col min="4356" max="4356" width="72.28515625" style="416" customWidth="1"/>
    <col min="4357" max="4357" width="10.140625" style="416" customWidth="1"/>
    <col min="4358" max="4360" width="15.7109375" style="416" customWidth="1"/>
    <col min="4361" max="4361" width="17.42578125" style="416" customWidth="1"/>
    <col min="4362" max="4362" width="11.28515625" style="416" bestFit="1" customWidth="1"/>
    <col min="4363" max="4364" width="12" style="416" bestFit="1" customWidth="1"/>
    <col min="4365" max="4365" width="8.85546875" style="416"/>
    <col min="4366" max="4366" width="20.42578125" style="416" customWidth="1"/>
    <col min="4367" max="4608" width="8.85546875" style="416"/>
    <col min="4609" max="4609" width="5.42578125" style="416" bestFit="1" customWidth="1"/>
    <col min="4610" max="4610" width="17.140625" style="416" customWidth="1"/>
    <col min="4611" max="4611" width="24.140625" style="416" customWidth="1"/>
    <col min="4612" max="4612" width="72.28515625" style="416" customWidth="1"/>
    <col min="4613" max="4613" width="10.140625" style="416" customWidth="1"/>
    <col min="4614" max="4616" width="15.7109375" style="416" customWidth="1"/>
    <col min="4617" max="4617" width="17.42578125" style="416" customWidth="1"/>
    <col min="4618" max="4618" width="11.28515625" style="416" bestFit="1" customWidth="1"/>
    <col min="4619" max="4620" width="12" style="416" bestFit="1" customWidth="1"/>
    <col min="4621" max="4621" width="8.85546875" style="416"/>
    <col min="4622" max="4622" width="20.42578125" style="416" customWidth="1"/>
    <col min="4623" max="4864" width="8.85546875" style="416"/>
    <col min="4865" max="4865" width="5.42578125" style="416" bestFit="1" customWidth="1"/>
    <col min="4866" max="4866" width="17.140625" style="416" customWidth="1"/>
    <col min="4867" max="4867" width="24.140625" style="416" customWidth="1"/>
    <col min="4868" max="4868" width="72.28515625" style="416" customWidth="1"/>
    <col min="4869" max="4869" width="10.140625" style="416" customWidth="1"/>
    <col min="4870" max="4872" width="15.7109375" style="416" customWidth="1"/>
    <col min="4873" max="4873" width="17.42578125" style="416" customWidth="1"/>
    <col min="4874" max="4874" width="11.28515625" style="416" bestFit="1" customWidth="1"/>
    <col min="4875" max="4876" width="12" style="416" bestFit="1" customWidth="1"/>
    <col min="4877" max="4877" width="8.85546875" style="416"/>
    <col min="4878" max="4878" width="20.42578125" style="416" customWidth="1"/>
    <col min="4879" max="5120" width="8.85546875" style="416"/>
    <col min="5121" max="5121" width="5.42578125" style="416" bestFit="1" customWidth="1"/>
    <col min="5122" max="5122" width="17.140625" style="416" customWidth="1"/>
    <col min="5123" max="5123" width="24.140625" style="416" customWidth="1"/>
    <col min="5124" max="5124" width="72.28515625" style="416" customWidth="1"/>
    <col min="5125" max="5125" width="10.140625" style="416" customWidth="1"/>
    <col min="5126" max="5128" width="15.7109375" style="416" customWidth="1"/>
    <col min="5129" max="5129" width="17.42578125" style="416" customWidth="1"/>
    <col min="5130" max="5130" width="11.28515625" style="416" bestFit="1" customWidth="1"/>
    <col min="5131" max="5132" width="12" style="416" bestFit="1" customWidth="1"/>
    <col min="5133" max="5133" width="8.85546875" style="416"/>
    <col min="5134" max="5134" width="20.42578125" style="416" customWidth="1"/>
    <col min="5135" max="5376" width="8.85546875" style="416"/>
    <col min="5377" max="5377" width="5.42578125" style="416" bestFit="1" customWidth="1"/>
    <col min="5378" max="5378" width="17.140625" style="416" customWidth="1"/>
    <col min="5379" max="5379" width="24.140625" style="416" customWidth="1"/>
    <col min="5380" max="5380" width="72.28515625" style="416" customWidth="1"/>
    <col min="5381" max="5381" width="10.140625" style="416" customWidth="1"/>
    <col min="5382" max="5384" width="15.7109375" style="416" customWidth="1"/>
    <col min="5385" max="5385" width="17.42578125" style="416" customWidth="1"/>
    <col min="5386" max="5386" width="11.28515625" style="416" bestFit="1" customWidth="1"/>
    <col min="5387" max="5388" width="12" style="416" bestFit="1" customWidth="1"/>
    <col min="5389" max="5389" width="8.85546875" style="416"/>
    <col min="5390" max="5390" width="20.42578125" style="416" customWidth="1"/>
    <col min="5391" max="5632" width="8.85546875" style="416"/>
    <col min="5633" max="5633" width="5.42578125" style="416" bestFit="1" customWidth="1"/>
    <col min="5634" max="5634" width="17.140625" style="416" customWidth="1"/>
    <col min="5635" max="5635" width="24.140625" style="416" customWidth="1"/>
    <col min="5636" max="5636" width="72.28515625" style="416" customWidth="1"/>
    <col min="5637" max="5637" width="10.140625" style="416" customWidth="1"/>
    <col min="5638" max="5640" width="15.7109375" style="416" customWidth="1"/>
    <col min="5641" max="5641" width="17.42578125" style="416" customWidth="1"/>
    <col min="5642" max="5642" width="11.28515625" style="416" bestFit="1" customWidth="1"/>
    <col min="5643" max="5644" width="12" style="416" bestFit="1" customWidth="1"/>
    <col min="5645" max="5645" width="8.85546875" style="416"/>
    <col min="5646" max="5646" width="20.42578125" style="416" customWidth="1"/>
    <col min="5647" max="5888" width="8.85546875" style="416"/>
    <col min="5889" max="5889" width="5.42578125" style="416" bestFit="1" customWidth="1"/>
    <col min="5890" max="5890" width="17.140625" style="416" customWidth="1"/>
    <col min="5891" max="5891" width="24.140625" style="416" customWidth="1"/>
    <col min="5892" max="5892" width="72.28515625" style="416" customWidth="1"/>
    <col min="5893" max="5893" width="10.140625" style="416" customWidth="1"/>
    <col min="5894" max="5896" width="15.7109375" style="416" customWidth="1"/>
    <col min="5897" max="5897" width="17.42578125" style="416" customWidth="1"/>
    <col min="5898" max="5898" width="11.28515625" style="416" bestFit="1" customWidth="1"/>
    <col min="5899" max="5900" width="12" style="416" bestFit="1" customWidth="1"/>
    <col min="5901" max="5901" width="8.85546875" style="416"/>
    <col min="5902" max="5902" width="20.42578125" style="416" customWidth="1"/>
    <col min="5903" max="6144" width="8.85546875" style="416"/>
    <col min="6145" max="6145" width="5.42578125" style="416" bestFit="1" customWidth="1"/>
    <col min="6146" max="6146" width="17.140625" style="416" customWidth="1"/>
    <col min="6147" max="6147" width="24.140625" style="416" customWidth="1"/>
    <col min="6148" max="6148" width="72.28515625" style="416" customWidth="1"/>
    <col min="6149" max="6149" width="10.140625" style="416" customWidth="1"/>
    <col min="6150" max="6152" width="15.7109375" style="416" customWidth="1"/>
    <col min="6153" max="6153" width="17.42578125" style="416" customWidth="1"/>
    <col min="6154" max="6154" width="11.28515625" style="416" bestFit="1" customWidth="1"/>
    <col min="6155" max="6156" width="12" style="416" bestFit="1" customWidth="1"/>
    <col min="6157" max="6157" width="8.85546875" style="416"/>
    <col min="6158" max="6158" width="20.42578125" style="416" customWidth="1"/>
    <col min="6159" max="6400" width="8.85546875" style="416"/>
    <col min="6401" max="6401" width="5.42578125" style="416" bestFit="1" customWidth="1"/>
    <col min="6402" max="6402" width="17.140625" style="416" customWidth="1"/>
    <col min="6403" max="6403" width="24.140625" style="416" customWidth="1"/>
    <col min="6404" max="6404" width="72.28515625" style="416" customWidth="1"/>
    <col min="6405" max="6405" width="10.140625" style="416" customWidth="1"/>
    <col min="6406" max="6408" width="15.7109375" style="416" customWidth="1"/>
    <col min="6409" max="6409" width="17.42578125" style="416" customWidth="1"/>
    <col min="6410" max="6410" width="11.28515625" style="416" bestFit="1" customWidth="1"/>
    <col min="6411" max="6412" width="12" style="416" bestFit="1" customWidth="1"/>
    <col min="6413" max="6413" width="8.85546875" style="416"/>
    <col min="6414" max="6414" width="20.42578125" style="416" customWidth="1"/>
    <col min="6415" max="6656" width="8.85546875" style="416"/>
    <col min="6657" max="6657" width="5.42578125" style="416" bestFit="1" customWidth="1"/>
    <col min="6658" max="6658" width="17.140625" style="416" customWidth="1"/>
    <col min="6659" max="6659" width="24.140625" style="416" customWidth="1"/>
    <col min="6660" max="6660" width="72.28515625" style="416" customWidth="1"/>
    <col min="6661" max="6661" width="10.140625" style="416" customWidth="1"/>
    <col min="6662" max="6664" width="15.7109375" style="416" customWidth="1"/>
    <col min="6665" max="6665" width="17.42578125" style="416" customWidth="1"/>
    <col min="6666" max="6666" width="11.28515625" style="416" bestFit="1" customWidth="1"/>
    <col min="6667" max="6668" width="12" style="416" bestFit="1" customWidth="1"/>
    <col min="6669" max="6669" width="8.85546875" style="416"/>
    <col min="6670" max="6670" width="20.42578125" style="416" customWidth="1"/>
    <col min="6671" max="6912" width="8.85546875" style="416"/>
    <col min="6913" max="6913" width="5.42578125" style="416" bestFit="1" customWidth="1"/>
    <col min="6914" max="6914" width="17.140625" style="416" customWidth="1"/>
    <col min="6915" max="6915" width="24.140625" style="416" customWidth="1"/>
    <col min="6916" max="6916" width="72.28515625" style="416" customWidth="1"/>
    <col min="6917" max="6917" width="10.140625" style="416" customWidth="1"/>
    <col min="6918" max="6920" width="15.7109375" style="416" customWidth="1"/>
    <col min="6921" max="6921" width="17.42578125" style="416" customWidth="1"/>
    <col min="6922" max="6922" width="11.28515625" style="416" bestFit="1" customWidth="1"/>
    <col min="6923" max="6924" width="12" style="416" bestFit="1" customWidth="1"/>
    <col min="6925" max="6925" width="8.85546875" style="416"/>
    <col min="6926" max="6926" width="20.42578125" style="416" customWidth="1"/>
    <col min="6927" max="7168" width="8.85546875" style="416"/>
    <col min="7169" max="7169" width="5.42578125" style="416" bestFit="1" customWidth="1"/>
    <col min="7170" max="7170" width="17.140625" style="416" customWidth="1"/>
    <col min="7171" max="7171" width="24.140625" style="416" customWidth="1"/>
    <col min="7172" max="7172" width="72.28515625" style="416" customWidth="1"/>
    <col min="7173" max="7173" width="10.140625" style="416" customWidth="1"/>
    <col min="7174" max="7176" width="15.7109375" style="416" customWidth="1"/>
    <col min="7177" max="7177" width="17.42578125" style="416" customWidth="1"/>
    <col min="7178" max="7178" width="11.28515625" style="416" bestFit="1" customWidth="1"/>
    <col min="7179" max="7180" width="12" style="416" bestFit="1" customWidth="1"/>
    <col min="7181" max="7181" width="8.85546875" style="416"/>
    <col min="7182" max="7182" width="20.42578125" style="416" customWidth="1"/>
    <col min="7183" max="7424" width="8.85546875" style="416"/>
    <col min="7425" max="7425" width="5.42578125" style="416" bestFit="1" customWidth="1"/>
    <col min="7426" max="7426" width="17.140625" style="416" customWidth="1"/>
    <col min="7427" max="7427" width="24.140625" style="416" customWidth="1"/>
    <col min="7428" max="7428" width="72.28515625" style="416" customWidth="1"/>
    <col min="7429" max="7429" width="10.140625" style="416" customWidth="1"/>
    <col min="7430" max="7432" width="15.7109375" style="416" customWidth="1"/>
    <col min="7433" max="7433" width="17.42578125" style="416" customWidth="1"/>
    <col min="7434" max="7434" width="11.28515625" style="416" bestFit="1" customWidth="1"/>
    <col min="7435" max="7436" width="12" style="416" bestFit="1" customWidth="1"/>
    <col min="7437" max="7437" width="8.85546875" style="416"/>
    <col min="7438" max="7438" width="20.42578125" style="416" customWidth="1"/>
    <col min="7439" max="7680" width="8.85546875" style="416"/>
    <col min="7681" max="7681" width="5.42578125" style="416" bestFit="1" customWidth="1"/>
    <col min="7682" max="7682" width="17.140625" style="416" customWidth="1"/>
    <col min="7683" max="7683" width="24.140625" style="416" customWidth="1"/>
    <col min="7684" max="7684" width="72.28515625" style="416" customWidth="1"/>
    <col min="7685" max="7685" width="10.140625" style="416" customWidth="1"/>
    <col min="7686" max="7688" width="15.7109375" style="416" customWidth="1"/>
    <col min="7689" max="7689" width="17.42578125" style="416" customWidth="1"/>
    <col min="7690" max="7690" width="11.28515625" style="416" bestFit="1" customWidth="1"/>
    <col min="7691" max="7692" width="12" style="416" bestFit="1" customWidth="1"/>
    <col min="7693" max="7693" width="8.85546875" style="416"/>
    <col min="7694" max="7694" width="20.42578125" style="416" customWidth="1"/>
    <col min="7695" max="7936" width="8.85546875" style="416"/>
    <col min="7937" max="7937" width="5.42578125" style="416" bestFit="1" customWidth="1"/>
    <col min="7938" max="7938" width="17.140625" style="416" customWidth="1"/>
    <col min="7939" max="7939" width="24.140625" style="416" customWidth="1"/>
    <col min="7940" max="7940" width="72.28515625" style="416" customWidth="1"/>
    <col min="7941" max="7941" width="10.140625" style="416" customWidth="1"/>
    <col min="7942" max="7944" width="15.7109375" style="416" customWidth="1"/>
    <col min="7945" max="7945" width="17.42578125" style="416" customWidth="1"/>
    <col min="7946" max="7946" width="11.28515625" style="416" bestFit="1" customWidth="1"/>
    <col min="7947" max="7948" width="12" style="416" bestFit="1" customWidth="1"/>
    <col min="7949" max="7949" width="8.85546875" style="416"/>
    <col min="7950" max="7950" width="20.42578125" style="416" customWidth="1"/>
    <col min="7951" max="8192" width="8.85546875" style="416"/>
    <col min="8193" max="8193" width="5.42578125" style="416" bestFit="1" customWidth="1"/>
    <col min="8194" max="8194" width="17.140625" style="416" customWidth="1"/>
    <col min="8195" max="8195" width="24.140625" style="416" customWidth="1"/>
    <col min="8196" max="8196" width="72.28515625" style="416" customWidth="1"/>
    <col min="8197" max="8197" width="10.140625" style="416" customWidth="1"/>
    <col min="8198" max="8200" width="15.7109375" style="416" customWidth="1"/>
    <col min="8201" max="8201" width="17.42578125" style="416" customWidth="1"/>
    <col min="8202" max="8202" width="11.28515625" style="416" bestFit="1" customWidth="1"/>
    <col min="8203" max="8204" width="12" style="416" bestFit="1" customWidth="1"/>
    <col min="8205" max="8205" width="8.85546875" style="416"/>
    <col min="8206" max="8206" width="20.42578125" style="416" customWidth="1"/>
    <col min="8207" max="8448" width="8.85546875" style="416"/>
    <col min="8449" max="8449" width="5.42578125" style="416" bestFit="1" customWidth="1"/>
    <col min="8450" max="8450" width="17.140625" style="416" customWidth="1"/>
    <col min="8451" max="8451" width="24.140625" style="416" customWidth="1"/>
    <col min="8452" max="8452" width="72.28515625" style="416" customWidth="1"/>
    <col min="8453" max="8453" width="10.140625" style="416" customWidth="1"/>
    <col min="8454" max="8456" width="15.7109375" style="416" customWidth="1"/>
    <col min="8457" max="8457" width="17.42578125" style="416" customWidth="1"/>
    <col min="8458" max="8458" width="11.28515625" style="416" bestFit="1" customWidth="1"/>
    <col min="8459" max="8460" width="12" style="416" bestFit="1" customWidth="1"/>
    <col min="8461" max="8461" width="8.85546875" style="416"/>
    <col min="8462" max="8462" width="20.42578125" style="416" customWidth="1"/>
    <col min="8463" max="8704" width="8.85546875" style="416"/>
    <col min="8705" max="8705" width="5.42578125" style="416" bestFit="1" customWidth="1"/>
    <col min="8706" max="8706" width="17.140625" style="416" customWidth="1"/>
    <col min="8707" max="8707" width="24.140625" style="416" customWidth="1"/>
    <col min="8708" max="8708" width="72.28515625" style="416" customWidth="1"/>
    <col min="8709" max="8709" width="10.140625" style="416" customWidth="1"/>
    <col min="8710" max="8712" width="15.7109375" style="416" customWidth="1"/>
    <col min="8713" max="8713" width="17.42578125" style="416" customWidth="1"/>
    <col min="8714" max="8714" width="11.28515625" style="416" bestFit="1" customWidth="1"/>
    <col min="8715" max="8716" width="12" style="416" bestFit="1" customWidth="1"/>
    <col min="8717" max="8717" width="8.85546875" style="416"/>
    <col min="8718" max="8718" width="20.42578125" style="416" customWidth="1"/>
    <col min="8719" max="8960" width="8.85546875" style="416"/>
    <col min="8961" max="8961" width="5.42578125" style="416" bestFit="1" customWidth="1"/>
    <col min="8962" max="8962" width="17.140625" style="416" customWidth="1"/>
    <col min="8963" max="8963" width="24.140625" style="416" customWidth="1"/>
    <col min="8964" max="8964" width="72.28515625" style="416" customWidth="1"/>
    <col min="8965" max="8965" width="10.140625" style="416" customWidth="1"/>
    <col min="8966" max="8968" width="15.7109375" style="416" customWidth="1"/>
    <col min="8969" max="8969" width="17.42578125" style="416" customWidth="1"/>
    <col min="8970" max="8970" width="11.28515625" style="416" bestFit="1" customWidth="1"/>
    <col min="8971" max="8972" width="12" style="416" bestFit="1" customWidth="1"/>
    <col min="8973" max="8973" width="8.85546875" style="416"/>
    <col min="8974" max="8974" width="20.42578125" style="416" customWidth="1"/>
    <col min="8975" max="9216" width="8.85546875" style="416"/>
    <col min="9217" max="9217" width="5.42578125" style="416" bestFit="1" customWidth="1"/>
    <col min="9218" max="9218" width="17.140625" style="416" customWidth="1"/>
    <col min="9219" max="9219" width="24.140625" style="416" customWidth="1"/>
    <col min="9220" max="9220" width="72.28515625" style="416" customWidth="1"/>
    <col min="9221" max="9221" width="10.140625" style="416" customWidth="1"/>
    <col min="9222" max="9224" width="15.7109375" style="416" customWidth="1"/>
    <col min="9225" max="9225" width="17.42578125" style="416" customWidth="1"/>
    <col min="9226" max="9226" width="11.28515625" style="416" bestFit="1" customWidth="1"/>
    <col min="9227" max="9228" width="12" style="416" bestFit="1" customWidth="1"/>
    <col min="9229" max="9229" width="8.85546875" style="416"/>
    <col min="9230" max="9230" width="20.42578125" style="416" customWidth="1"/>
    <col min="9231" max="9472" width="8.85546875" style="416"/>
    <col min="9473" max="9473" width="5.42578125" style="416" bestFit="1" customWidth="1"/>
    <col min="9474" max="9474" width="17.140625" style="416" customWidth="1"/>
    <col min="9475" max="9475" width="24.140625" style="416" customWidth="1"/>
    <col min="9476" max="9476" width="72.28515625" style="416" customWidth="1"/>
    <col min="9477" max="9477" width="10.140625" style="416" customWidth="1"/>
    <col min="9478" max="9480" width="15.7109375" style="416" customWidth="1"/>
    <col min="9481" max="9481" width="17.42578125" style="416" customWidth="1"/>
    <col min="9482" max="9482" width="11.28515625" style="416" bestFit="1" customWidth="1"/>
    <col min="9483" max="9484" width="12" style="416" bestFit="1" customWidth="1"/>
    <col min="9485" max="9485" width="8.85546875" style="416"/>
    <col min="9486" max="9486" width="20.42578125" style="416" customWidth="1"/>
    <col min="9487" max="9728" width="8.85546875" style="416"/>
    <col min="9729" max="9729" width="5.42578125" style="416" bestFit="1" customWidth="1"/>
    <col min="9730" max="9730" width="17.140625" style="416" customWidth="1"/>
    <col min="9731" max="9731" width="24.140625" style="416" customWidth="1"/>
    <col min="9732" max="9732" width="72.28515625" style="416" customWidth="1"/>
    <col min="9733" max="9733" width="10.140625" style="416" customWidth="1"/>
    <col min="9734" max="9736" width="15.7109375" style="416" customWidth="1"/>
    <col min="9737" max="9737" width="17.42578125" style="416" customWidth="1"/>
    <col min="9738" max="9738" width="11.28515625" style="416" bestFit="1" customWidth="1"/>
    <col min="9739" max="9740" width="12" style="416" bestFit="1" customWidth="1"/>
    <col min="9741" max="9741" width="8.85546875" style="416"/>
    <col min="9742" max="9742" width="20.42578125" style="416" customWidth="1"/>
    <col min="9743" max="9984" width="8.85546875" style="416"/>
    <col min="9985" max="9985" width="5.42578125" style="416" bestFit="1" customWidth="1"/>
    <col min="9986" max="9986" width="17.140625" style="416" customWidth="1"/>
    <col min="9987" max="9987" width="24.140625" style="416" customWidth="1"/>
    <col min="9988" max="9988" width="72.28515625" style="416" customWidth="1"/>
    <col min="9989" max="9989" width="10.140625" style="416" customWidth="1"/>
    <col min="9990" max="9992" width="15.7109375" style="416" customWidth="1"/>
    <col min="9993" max="9993" width="17.42578125" style="416" customWidth="1"/>
    <col min="9994" max="9994" width="11.28515625" style="416" bestFit="1" customWidth="1"/>
    <col min="9995" max="9996" width="12" style="416" bestFit="1" customWidth="1"/>
    <col min="9997" max="9997" width="8.85546875" style="416"/>
    <col min="9998" max="9998" width="20.42578125" style="416" customWidth="1"/>
    <col min="9999" max="10240" width="8.85546875" style="416"/>
    <col min="10241" max="10241" width="5.42578125" style="416" bestFit="1" customWidth="1"/>
    <col min="10242" max="10242" width="17.140625" style="416" customWidth="1"/>
    <col min="10243" max="10243" width="24.140625" style="416" customWidth="1"/>
    <col min="10244" max="10244" width="72.28515625" style="416" customWidth="1"/>
    <col min="10245" max="10245" width="10.140625" style="416" customWidth="1"/>
    <col min="10246" max="10248" width="15.7109375" style="416" customWidth="1"/>
    <col min="10249" max="10249" width="17.42578125" style="416" customWidth="1"/>
    <col min="10250" max="10250" width="11.28515625" style="416" bestFit="1" customWidth="1"/>
    <col min="10251" max="10252" width="12" style="416" bestFit="1" customWidth="1"/>
    <col min="10253" max="10253" width="8.85546875" style="416"/>
    <col min="10254" max="10254" width="20.42578125" style="416" customWidth="1"/>
    <col min="10255" max="10496" width="8.85546875" style="416"/>
    <col min="10497" max="10497" width="5.42578125" style="416" bestFit="1" customWidth="1"/>
    <col min="10498" max="10498" width="17.140625" style="416" customWidth="1"/>
    <col min="10499" max="10499" width="24.140625" style="416" customWidth="1"/>
    <col min="10500" max="10500" width="72.28515625" style="416" customWidth="1"/>
    <col min="10501" max="10501" width="10.140625" style="416" customWidth="1"/>
    <col min="10502" max="10504" width="15.7109375" style="416" customWidth="1"/>
    <col min="10505" max="10505" width="17.42578125" style="416" customWidth="1"/>
    <col min="10506" max="10506" width="11.28515625" style="416" bestFit="1" customWidth="1"/>
    <col min="10507" max="10508" width="12" style="416" bestFit="1" customWidth="1"/>
    <col min="10509" max="10509" width="8.85546875" style="416"/>
    <col min="10510" max="10510" width="20.42578125" style="416" customWidth="1"/>
    <col min="10511" max="10752" width="8.85546875" style="416"/>
    <col min="10753" max="10753" width="5.42578125" style="416" bestFit="1" customWidth="1"/>
    <col min="10754" max="10754" width="17.140625" style="416" customWidth="1"/>
    <col min="10755" max="10755" width="24.140625" style="416" customWidth="1"/>
    <col min="10756" max="10756" width="72.28515625" style="416" customWidth="1"/>
    <col min="10757" max="10757" width="10.140625" style="416" customWidth="1"/>
    <col min="10758" max="10760" width="15.7109375" style="416" customWidth="1"/>
    <col min="10761" max="10761" width="17.42578125" style="416" customWidth="1"/>
    <col min="10762" max="10762" width="11.28515625" style="416" bestFit="1" customWidth="1"/>
    <col min="10763" max="10764" width="12" style="416" bestFit="1" customWidth="1"/>
    <col min="10765" max="10765" width="8.85546875" style="416"/>
    <col min="10766" max="10766" width="20.42578125" style="416" customWidth="1"/>
    <col min="10767" max="11008" width="8.85546875" style="416"/>
    <col min="11009" max="11009" width="5.42578125" style="416" bestFit="1" customWidth="1"/>
    <col min="11010" max="11010" width="17.140625" style="416" customWidth="1"/>
    <col min="11011" max="11011" width="24.140625" style="416" customWidth="1"/>
    <col min="11012" max="11012" width="72.28515625" style="416" customWidth="1"/>
    <col min="11013" max="11013" width="10.140625" style="416" customWidth="1"/>
    <col min="11014" max="11016" width="15.7109375" style="416" customWidth="1"/>
    <col min="11017" max="11017" width="17.42578125" style="416" customWidth="1"/>
    <col min="11018" max="11018" width="11.28515625" style="416" bestFit="1" customWidth="1"/>
    <col min="11019" max="11020" width="12" style="416" bestFit="1" customWidth="1"/>
    <col min="11021" max="11021" width="8.85546875" style="416"/>
    <col min="11022" max="11022" width="20.42578125" style="416" customWidth="1"/>
    <col min="11023" max="11264" width="8.85546875" style="416"/>
    <col min="11265" max="11265" width="5.42578125" style="416" bestFit="1" customWidth="1"/>
    <col min="11266" max="11266" width="17.140625" style="416" customWidth="1"/>
    <col min="11267" max="11267" width="24.140625" style="416" customWidth="1"/>
    <col min="11268" max="11268" width="72.28515625" style="416" customWidth="1"/>
    <col min="11269" max="11269" width="10.140625" style="416" customWidth="1"/>
    <col min="11270" max="11272" width="15.7109375" style="416" customWidth="1"/>
    <col min="11273" max="11273" width="17.42578125" style="416" customWidth="1"/>
    <col min="11274" max="11274" width="11.28515625" style="416" bestFit="1" customWidth="1"/>
    <col min="11275" max="11276" width="12" style="416" bestFit="1" customWidth="1"/>
    <col min="11277" max="11277" width="8.85546875" style="416"/>
    <col min="11278" max="11278" width="20.42578125" style="416" customWidth="1"/>
    <col min="11279" max="11520" width="8.85546875" style="416"/>
    <col min="11521" max="11521" width="5.42578125" style="416" bestFit="1" customWidth="1"/>
    <col min="11522" max="11522" width="17.140625" style="416" customWidth="1"/>
    <col min="11523" max="11523" width="24.140625" style="416" customWidth="1"/>
    <col min="11524" max="11524" width="72.28515625" style="416" customWidth="1"/>
    <col min="11525" max="11525" width="10.140625" style="416" customWidth="1"/>
    <col min="11526" max="11528" width="15.7109375" style="416" customWidth="1"/>
    <col min="11529" max="11529" width="17.42578125" style="416" customWidth="1"/>
    <col min="11530" max="11530" width="11.28515625" style="416" bestFit="1" customWidth="1"/>
    <col min="11531" max="11532" width="12" style="416" bestFit="1" customWidth="1"/>
    <col min="11533" max="11533" width="8.85546875" style="416"/>
    <col min="11534" max="11534" width="20.42578125" style="416" customWidth="1"/>
    <col min="11535" max="11776" width="8.85546875" style="416"/>
    <col min="11777" max="11777" width="5.42578125" style="416" bestFit="1" customWidth="1"/>
    <col min="11778" max="11778" width="17.140625" style="416" customWidth="1"/>
    <col min="11779" max="11779" width="24.140625" style="416" customWidth="1"/>
    <col min="11780" max="11780" width="72.28515625" style="416" customWidth="1"/>
    <col min="11781" max="11781" width="10.140625" style="416" customWidth="1"/>
    <col min="11782" max="11784" width="15.7109375" style="416" customWidth="1"/>
    <col min="11785" max="11785" width="17.42578125" style="416" customWidth="1"/>
    <col min="11786" max="11786" width="11.28515625" style="416" bestFit="1" customWidth="1"/>
    <col min="11787" max="11788" width="12" style="416" bestFit="1" customWidth="1"/>
    <col min="11789" max="11789" width="8.85546875" style="416"/>
    <col min="11790" max="11790" width="20.42578125" style="416" customWidth="1"/>
    <col min="11791" max="12032" width="8.85546875" style="416"/>
    <col min="12033" max="12033" width="5.42578125" style="416" bestFit="1" customWidth="1"/>
    <col min="12034" max="12034" width="17.140625" style="416" customWidth="1"/>
    <col min="12035" max="12035" width="24.140625" style="416" customWidth="1"/>
    <col min="12036" max="12036" width="72.28515625" style="416" customWidth="1"/>
    <col min="12037" max="12037" width="10.140625" style="416" customWidth="1"/>
    <col min="12038" max="12040" width="15.7109375" style="416" customWidth="1"/>
    <col min="12041" max="12041" width="17.42578125" style="416" customWidth="1"/>
    <col min="12042" max="12042" width="11.28515625" style="416" bestFit="1" customWidth="1"/>
    <col min="12043" max="12044" width="12" style="416" bestFit="1" customWidth="1"/>
    <col min="12045" max="12045" width="8.85546875" style="416"/>
    <col min="12046" max="12046" width="20.42578125" style="416" customWidth="1"/>
    <col min="12047" max="12288" width="8.85546875" style="416"/>
    <col min="12289" max="12289" width="5.42578125" style="416" bestFit="1" customWidth="1"/>
    <col min="12290" max="12290" width="17.140625" style="416" customWidth="1"/>
    <col min="12291" max="12291" width="24.140625" style="416" customWidth="1"/>
    <col min="12292" max="12292" width="72.28515625" style="416" customWidth="1"/>
    <col min="12293" max="12293" width="10.140625" style="416" customWidth="1"/>
    <col min="12294" max="12296" width="15.7109375" style="416" customWidth="1"/>
    <col min="12297" max="12297" width="17.42578125" style="416" customWidth="1"/>
    <col min="12298" max="12298" width="11.28515625" style="416" bestFit="1" customWidth="1"/>
    <col min="12299" max="12300" width="12" style="416" bestFit="1" customWidth="1"/>
    <col min="12301" max="12301" width="8.85546875" style="416"/>
    <col min="12302" max="12302" width="20.42578125" style="416" customWidth="1"/>
    <col min="12303" max="12544" width="8.85546875" style="416"/>
    <col min="12545" max="12545" width="5.42578125" style="416" bestFit="1" customWidth="1"/>
    <col min="12546" max="12546" width="17.140625" style="416" customWidth="1"/>
    <col min="12547" max="12547" width="24.140625" style="416" customWidth="1"/>
    <col min="12548" max="12548" width="72.28515625" style="416" customWidth="1"/>
    <col min="12549" max="12549" width="10.140625" style="416" customWidth="1"/>
    <col min="12550" max="12552" width="15.7109375" style="416" customWidth="1"/>
    <col min="12553" max="12553" width="17.42578125" style="416" customWidth="1"/>
    <col min="12554" max="12554" width="11.28515625" style="416" bestFit="1" customWidth="1"/>
    <col min="12555" max="12556" width="12" style="416" bestFit="1" customWidth="1"/>
    <col min="12557" max="12557" width="8.85546875" style="416"/>
    <col min="12558" max="12558" width="20.42578125" style="416" customWidth="1"/>
    <col min="12559" max="12800" width="8.85546875" style="416"/>
    <col min="12801" max="12801" width="5.42578125" style="416" bestFit="1" customWidth="1"/>
    <col min="12802" max="12802" width="17.140625" style="416" customWidth="1"/>
    <col min="12803" max="12803" width="24.140625" style="416" customWidth="1"/>
    <col min="12804" max="12804" width="72.28515625" style="416" customWidth="1"/>
    <col min="12805" max="12805" width="10.140625" style="416" customWidth="1"/>
    <col min="12806" max="12808" width="15.7109375" style="416" customWidth="1"/>
    <col min="12809" max="12809" width="17.42578125" style="416" customWidth="1"/>
    <col min="12810" max="12810" width="11.28515625" style="416" bestFit="1" customWidth="1"/>
    <col min="12811" max="12812" width="12" style="416" bestFit="1" customWidth="1"/>
    <col min="12813" max="12813" width="8.85546875" style="416"/>
    <col min="12814" max="12814" width="20.42578125" style="416" customWidth="1"/>
    <col min="12815" max="13056" width="8.85546875" style="416"/>
    <col min="13057" max="13057" width="5.42578125" style="416" bestFit="1" customWidth="1"/>
    <col min="13058" max="13058" width="17.140625" style="416" customWidth="1"/>
    <col min="13059" max="13059" width="24.140625" style="416" customWidth="1"/>
    <col min="13060" max="13060" width="72.28515625" style="416" customWidth="1"/>
    <col min="13061" max="13061" width="10.140625" style="416" customWidth="1"/>
    <col min="13062" max="13064" width="15.7109375" style="416" customWidth="1"/>
    <col min="13065" max="13065" width="17.42578125" style="416" customWidth="1"/>
    <col min="13066" max="13066" width="11.28515625" style="416" bestFit="1" customWidth="1"/>
    <col min="13067" max="13068" width="12" style="416" bestFit="1" customWidth="1"/>
    <col min="13069" max="13069" width="8.85546875" style="416"/>
    <col min="13070" max="13070" width="20.42578125" style="416" customWidth="1"/>
    <col min="13071" max="13312" width="8.85546875" style="416"/>
    <col min="13313" max="13313" width="5.42578125" style="416" bestFit="1" customWidth="1"/>
    <col min="13314" max="13314" width="17.140625" style="416" customWidth="1"/>
    <col min="13315" max="13315" width="24.140625" style="416" customWidth="1"/>
    <col min="13316" max="13316" width="72.28515625" style="416" customWidth="1"/>
    <col min="13317" max="13317" width="10.140625" style="416" customWidth="1"/>
    <col min="13318" max="13320" width="15.7109375" style="416" customWidth="1"/>
    <col min="13321" max="13321" width="17.42578125" style="416" customWidth="1"/>
    <col min="13322" max="13322" width="11.28515625" style="416" bestFit="1" customWidth="1"/>
    <col min="13323" max="13324" width="12" style="416" bestFit="1" customWidth="1"/>
    <col min="13325" max="13325" width="8.85546875" style="416"/>
    <col min="13326" max="13326" width="20.42578125" style="416" customWidth="1"/>
    <col min="13327" max="13568" width="8.85546875" style="416"/>
    <col min="13569" max="13569" width="5.42578125" style="416" bestFit="1" customWidth="1"/>
    <col min="13570" max="13570" width="17.140625" style="416" customWidth="1"/>
    <col min="13571" max="13571" width="24.140625" style="416" customWidth="1"/>
    <col min="13572" max="13572" width="72.28515625" style="416" customWidth="1"/>
    <col min="13573" max="13573" width="10.140625" style="416" customWidth="1"/>
    <col min="13574" max="13576" width="15.7109375" style="416" customWidth="1"/>
    <col min="13577" max="13577" width="17.42578125" style="416" customWidth="1"/>
    <col min="13578" max="13578" width="11.28515625" style="416" bestFit="1" customWidth="1"/>
    <col min="13579" max="13580" width="12" style="416" bestFit="1" customWidth="1"/>
    <col min="13581" max="13581" width="8.85546875" style="416"/>
    <col min="13582" max="13582" width="20.42578125" style="416" customWidth="1"/>
    <col min="13583" max="13824" width="8.85546875" style="416"/>
    <col min="13825" max="13825" width="5.42578125" style="416" bestFit="1" customWidth="1"/>
    <col min="13826" max="13826" width="17.140625" style="416" customWidth="1"/>
    <col min="13827" max="13827" width="24.140625" style="416" customWidth="1"/>
    <col min="13828" max="13828" width="72.28515625" style="416" customWidth="1"/>
    <col min="13829" max="13829" width="10.140625" style="416" customWidth="1"/>
    <col min="13830" max="13832" width="15.7109375" style="416" customWidth="1"/>
    <col min="13833" max="13833" width="17.42578125" style="416" customWidth="1"/>
    <col min="13834" max="13834" width="11.28515625" style="416" bestFit="1" customWidth="1"/>
    <col min="13835" max="13836" width="12" style="416" bestFit="1" customWidth="1"/>
    <col min="13837" max="13837" width="8.85546875" style="416"/>
    <col min="13838" max="13838" width="20.42578125" style="416" customWidth="1"/>
    <col min="13839" max="14080" width="8.85546875" style="416"/>
    <col min="14081" max="14081" width="5.42578125" style="416" bestFit="1" customWidth="1"/>
    <col min="14082" max="14082" width="17.140625" style="416" customWidth="1"/>
    <col min="14083" max="14083" width="24.140625" style="416" customWidth="1"/>
    <col min="14084" max="14084" width="72.28515625" style="416" customWidth="1"/>
    <col min="14085" max="14085" width="10.140625" style="416" customWidth="1"/>
    <col min="14086" max="14088" width="15.7109375" style="416" customWidth="1"/>
    <col min="14089" max="14089" width="17.42578125" style="416" customWidth="1"/>
    <col min="14090" max="14090" width="11.28515625" style="416" bestFit="1" customWidth="1"/>
    <col min="14091" max="14092" width="12" style="416" bestFit="1" customWidth="1"/>
    <col min="14093" max="14093" width="8.85546875" style="416"/>
    <col min="14094" max="14094" width="20.42578125" style="416" customWidth="1"/>
    <col min="14095" max="14336" width="8.85546875" style="416"/>
    <col min="14337" max="14337" width="5.42578125" style="416" bestFit="1" customWidth="1"/>
    <col min="14338" max="14338" width="17.140625" style="416" customWidth="1"/>
    <col min="14339" max="14339" width="24.140625" style="416" customWidth="1"/>
    <col min="14340" max="14340" width="72.28515625" style="416" customWidth="1"/>
    <col min="14341" max="14341" width="10.140625" style="416" customWidth="1"/>
    <col min="14342" max="14344" width="15.7109375" style="416" customWidth="1"/>
    <col min="14345" max="14345" width="17.42578125" style="416" customWidth="1"/>
    <col min="14346" max="14346" width="11.28515625" style="416" bestFit="1" customWidth="1"/>
    <col min="14347" max="14348" width="12" style="416" bestFit="1" customWidth="1"/>
    <col min="14349" max="14349" width="8.85546875" style="416"/>
    <col min="14350" max="14350" width="20.42578125" style="416" customWidth="1"/>
    <col min="14351" max="14592" width="8.85546875" style="416"/>
    <col min="14593" max="14593" width="5.42578125" style="416" bestFit="1" customWidth="1"/>
    <col min="14594" max="14594" width="17.140625" style="416" customWidth="1"/>
    <col min="14595" max="14595" width="24.140625" style="416" customWidth="1"/>
    <col min="14596" max="14596" width="72.28515625" style="416" customWidth="1"/>
    <col min="14597" max="14597" width="10.140625" style="416" customWidth="1"/>
    <col min="14598" max="14600" width="15.7109375" style="416" customWidth="1"/>
    <col min="14601" max="14601" width="17.42578125" style="416" customWidth="1"/>
    <col min="14602" max="14602" width="11.28515625" style="416" bestFit="1" customWidth="1"/>
    <col min="14603" max="14604" width="12" style="416" bestFit="1" customWidth="1"/>
    <col min="14605" max="14605" width="8.85546875" style="416"/>
    <col min="14606" max="14606" width="20.42578125" style="416" customWidth="1"/>
    <col min="14607" max="14848" width="8.85546875" style="416"/>
    <col min="14849" max="14849" width="5.42578125" style="416" bestFit="1" customWidth="1"/>
    <col min="14850" max="14850" width="17.140625" style="416" customWidth="1"/>
    <col min="14851" max="14851" width="24.140625" style="416" customWidth="1"/>
    <col min="14852" max="14852" width="72.28515625" style="416" customWidth="1"/>
    <col min="14853" max="14853" width="10.140625" style="416" customWidth="1"/>
    <col min="14854" max="14856" width="15.7109375" style="416" customWidth="1"/>
    <col min="14857" max="14857" width="17.42578125" style="416" customWidth="1"/>
    <col min="14858" max="14858" width="11.28515625" style="416" bestFit="1" customWidth="1"/>
    <col min="14859" max="14860" width="12" style="416" bestFit="1" customWidth="1"/>
    <col min="14861" max="14861" width="8.85546875" style="416"/>
    <col min="14862" max="14862" width="20.42578125" style="416" customWidth="1"/>
    <col min="14863" max="15104" width="8.85546875" style="416"/>
    <col min="15105" max="15105" width="5.42578125" style="416" bestFit="1" customWidth="1"/>
    <col min="15106" max="15106" width="17.140625" style="416" customWidth="1"/>
    <col min="15107" max="15107" width="24.140625" style="416" customWidth="1"/>
    <col min="15108" max="15108" width="72.28515625" style="416" customWidth="1"/>
    <col min="15109" max="15109" width="10.140625" style="416" customWidth="1"/>
    <col min="15110" max="15112" width="15.7109375" style="416" customWidth="1"/>
    <col min="15113" max="15113" width="17.42578125" style="416" customWidth="1"/>
    <col min="15114" max="15114" width="11.28515625" style="416" bestFit="1" customWidth="1"/>
    <col min="15115" max="15116" width="12" style="416" bestFit="1" customWidth="1"/>
    <col min="15117" max="15117" width="8.85546875" style="416"/>
    <col min="15118" max="15118" width="20.42578125" style="416" customWidth="1"/>
    <col min="15119" max="15360" width="8.85546875" style="416"/>
    <col min="15361" max="15361" width="5.42578125" style="416" bestFit="1" customWidth="1"/>
    <col min="15362" max="15362" width="17.140625" style="416" customWidth="1"/>
    <col min="15363" max="15363" width="24.140625" style="416" customWidth="1"/>
    <col min="15364" max="15364" width="72.28515625" style="416" customWidth="1"/>
    <col min="15365" max="15365" width="10.140625" style="416" customWidth="1"/>
    <col min="15366" max="15368" width="15.7109375" style="416" customWidth="1"/>
    <col min="15369" max="15369" width="17.42578125" style="416" customWidth="1"/>
    <col min="15370" max="15370" width="11.28515625" style="416" bestFit="1" customWidth="1"/>
    <col min="15371" max="15372" width="12" style="416" bestFit="1" customWidth="1"/>
    <col min="15373" max="15373" width="8.85546875" style="416"/>
    <col min="15374" max="15374" width="20.42578125" style="416" customWidth="1"/>
    <col min="15375" max="15616" width="8.85546875" style="416"/>
    <col min="15617" max="15617" width="5.42578125" style="416" bestFit="1" customWidth="1"/>
    <col min="15618" max="15618" width="17.140625" style="416" customWidth="1"/>
    <col min="15619" max="15619" width="24.140625" style="416" customWidth="1"/>
    <col min="15620" max="15620" width="72.28515625" style="416" customWidth="1"/>
    <col min="15621" max="15621" width="10.140625" style="416" customWidth="1"/>
    <col min="15622" max="15624" width="15.7109375" style="416" customWidth="1"/>
    <col min="15625" max="15625" width="17.42578125" style="416" customWidth="1"/>
    <col min="15626" max="15626" width="11.28515625" style="416" bestFit="1" customWidth="1"/>
    <col min="15627" max="15628" width="12" style="416" bestFit="1" customWidth="1"/>
    <col min="15629" max="15629" width="8.85546875" style="416"/>
    <col min="15630" max="15630" width="20.42578125" style="416" customWidth="1"/>
    <col min="15631" max="15872" width="8.85546875" style="416"/>
    <col min="15873" max="15873" width="5.42578125" style="416" bestFit="1" customWidth="1"/>
    <col min="15874" max="15874" width="17.140625" style="416" customWidth="1"/>
    <col min="15875" max="15875" width="24.140625" style="416" customWidth="1"/>
    <col min="15876" max="15876" width="72.28515625" style="416" customWidth="1"/>
    <col min="15877" max="15877" width="10.140625" style="416" customWidth="1"/>
    <col min="15878" max="15880" width="15.7109375" style="416" customWidth="1"/>
    <col min="15881" max="15881" width="17.42578125" style="416" customWidth="1"/>
    <col min="15882" max="15882" width="11.28515625" style="416" bestFit="1" customWidth="1"/>
    <col min="15883" max="15884" width="12" style="416" bestFit="1" customWidth="1"/>
    <col min="15885" max="15885" width="8.85546875" style="416"/>
    <col min="15886" max="15886" width="20.42578125" style="416" customWidth="1"/>
    <col min="15887" max="16128" width="8.85546875" style="416"/>
    <col min="16129" max="16129" width="5.42578125" style="416" bestFit="1" customWidth="1"/>
    <col min="16130" max="16130" width="17.140625" style="416" customWidth="1"/>
    <col min="16131" max="16131" width="24.140625" style="416" customWidth="1"/>
    <col min="16132" max="16132" width="72.28515625" style="416" customWidth="1"/>
    <col min="16133" max="16133" width="10.140625" style="416" customWidth="1"/>
    <col min="16134" max="16136" width="15.7109375" style="416" customWidth="1"/>
    <col min="16137" max="16137" width="17.42578125" style="416" customWidth="1"/>
    <col min="16138" max="16138" width="11.28515625" style="416" bestFit="1" customWidth="1"/>
    <col min="16139" max="16140" width="12" style="416" bestFit="1" customWidth="1"/>
    <col min="16141" max="16141" width="8.85546875" style="416"/>
    <col min="16142" max="16142" width="20.42578125" style="416" customWidth="1"/>
    <col min="16143" max="16384" width="8.85546875" style="416"/>
  </cols>
  <sheetData>
    <row r="1" spans="1:18" ht="13.5" customHeight="1" thickBot="1">
      <c r="A1" s="414"/>
      <c r="B1" s="414"/>
      <c r="C1" s="414"/>
      <c r="D1" s="1148" t="s">
        <v>487</v>
      </c>
      <c r="E1" s="414"/>
      <c r="F1" s="414"/>
      <c r="G1" s="415"/>
      <c r="H1" s="415"/>
      <c r="I1" s="415"/>
    </row>
    <row r="2" spans="1:18" s="419" customFormat="1" ht="22.5" customHeight="1">
      <c r="A2" s="812" t="s">
        <v>479</v>
      </c>
      <c r="B2" s="813"/>
      <c r="C2" s="813"/>
      <c r="D2" s="813"/>
      <c r="E2" s="813"/>
      <c r="F2" s="813"/>
      <c r="G2" s="813"/>
      <c r="H2" s="813"/>
      <c r="I2" s="814"/>
      <c r="J2" s="417"/>
      <c r="K2" s="417"/>
      <c r="L2" s="417"/>
      <c r="M2" s="417"/>
      <c r="N2" s="417"/>
      <c r="O2" s="417"/>
      <c r="P2" s="418"/>
      <c r="Q2" s="418"/>
      <c r="R2" s="418"/>
    </row>
    <row r="3" spans="1:18" s="420" customFormat="1" ht="15" customHeight="1">
      <c r="A3" s="1139" t="s">
        <v>482</v>
      </c>
      <c r="B3" s="1140"/>
      <c r="C3" s="1140"/>
      <c r="D3" s="1140"/>
      <c r="E3" s="1141"/>
      <c r="F3" s="1142" t="s">
        <v>484</v>
      </c>
      <c r="G3" s="1140"/>
      <c r="H3" s="1140"/>
      <c r="I3" s="1143"/>
    </row>
    <row r="4" spans="1:18" s="420" customFormat="1" ht="15" customHeight="1">
      <c r="A4" s="815" t="s">
        <v>477</v>
      </c>
      <c r="B4" s="816"/>
      <c r="C4" s="816"/>
      <c r="D4" s="816"/>
      <c r="E4" s="817"/>
      <c r="F4" s="818"/>
      <c r="G4" s="816"/>
      <c r="H4" s="816"/>
      <c r="I4" s="819"/>
    </row>
    <row r="5" spans="1:18" s="420" customFormat="1" ht="15" customHeight="1" thickBot="1">
      <c r="A5" s="820" t="s">
        <v>361</v>
      </c>
      <c r="B5" s="821"/>
      <c r="C5" s="821"/>
      <c r="D5" s="821"/>
      <c r="E5" s="822"/>
      <c r="F5" s="421" t="s">
        <v>297</v>
      </c>
      <c r="G5" s="422">
        <v>2.5000000000000001E-2</v>
      </c>
      <c r="H5" s="823" t="s">
        <v>141</v>
      </c>
      <c r="I5" s="824"/>
    </row>
    <row r="6" spans="1:18" ht="15" customHeight="1" thickBot="1">
      <c r="A6" s="801" t="s">
        <v>298</v>
      </c>
      <c r="B6" s="802"/>
      <c r="C6" s="802"/>
      <c r="D6" s="802"/>
      <c r="E6" s="802"/>
      <c r="F6" s="769"/>
      <c r="G6" s="770"/>
      <c r="H6" s="424" t="s">
        <v>299</v>
      </c>
      <c r="I6" s="423">
        <v>0.27700000000000002</v>
      </c>
      <c r="K6" s="803" t="s">
        <v>300</v>
      </c>
      <c r="L6" s="804"/>
    </row>
    <row r="7" spans="1:18" ht="7.5" customHeight="1" thickBot="1">
      <c r="A7" s="805"/>
      <c r="B7" s="806"/>
      <c r="C7" s="806"/>
      <c r="D7" s="806"/>
      <c r="E7" s="806"/>
      <c r="F7" s="806"/>
      <c r="G7" s="806"/>
      <c r="H7" s="806"/>
      <c r="I7" s="807"/>
    </row>
    <row r="8" spans="1:18" ht="26.25" thickBot="1">
      <c r="A8" s="425" t="s">
        <v>147</v>
      </c>
      <c r="B8" s="426" t="s">
        <v>148</v>
      </c>
      <c r="C8" s="825" t="s">
        <v>149</v>
      </c>
      <c r="D8" s="826"/>
      <c r="E8" s="426" t="s">
        <v>150</v>
      </c>
      <c r="F8" s="426" t="s">
        <v>42</v>
      </c>
      <c r="G8" s="427" t="s">
        <v>301</v>
      </c>
      <c r="H8" s="427" t="s">
        <v>302</v>
      </c>
      <c r="I8" s="428" t="s">
        <v>153</v>
      </c>
      <c r="K8" s="808" t="s">
        <v>301</v>
      </c>
      <c r="L8" s="808" t="s">
        <v>302</v>
      </c>
    </row>
    <row r="9" spans="1:18" ht="25.9" customHeight="1">
      <c r="A9" s="827" t="s">
        <v>329</v>
      </c>
      <c r="B9" s="828"/>
      <c r="C9" s="828"/>
      <c r="D9" s="828"/>
      <c r="E9" s="828"/>
      <c r="F9" s="828"/>
      <c r="G9" s="828"/>
      <c r="H9" s="828"/>
      <c r="I9" s="429">
        <f>I10+I12+I17+I19+I22+I36+I33</f>
        <v>89281.307860209345</v>
      </c>
      <c r="K9" s="808"/>
      <c r="L9" s="808"/>
    </row>
    <row r="10" spans="1:18" s="420" customFormat="1" ht="18" customHeight="1" thickBot="1">
      <c r="A10" s="430">
        <v>1</v>
      </c>
      <c r="B10" s="431"/>
      <c r="C10" s="432" t="s">
        <v>303</v>
      </c>
      <c r="D10" s="433"/>
      <c r="E10" s="431"/>
      <c r="F10" s="431"/>
      <c r="G10" s="431"/>
      <c r="H10" s="431"/>
      <c r="I10" s="434">
        <f>SUM(I11)</f>
        <v>486.20498000000003</v>
      </c>
      <c r="K10" s="809"/>
      <c r="L10" s="809"/>
    </row>
    <row r="11" spans="1:18" s="420" customFormat="1" ht="36" customHeight="1">
      <c r="A11" s="435" t="s">
        <v>155</v>
      </c>
      <c r="B11" s="436" t="s">
        <v>304</v>
      </c>
      <c r="C11" s="810" t="s">
        <v>305</v>
      </c>
      <c r="D11" s="811"/>
      <c r="E11" s="437" t="str">
        <f>'[2]Modelo Planilha Orcamentaria'!E14</f>
        <v>M2</v>
      </c>
      <c r="F11" s="438">
        <f>MC!C8</f>
        <v>2</v>
      </c>
      <c r="G11" s="439">
        <v>190.37</v>
      </c>
      <c r="H11" s="439">
        <f>G11*$I$6+G11</f>
        <v>243.10249000000002</v>
      </c>
      <c r="I11" s="440">
        <f>F11*H11</f>
        <v>486.20498000000003</v>
      </c>
      <c r="K11" s="441">
        <v>1075.83</v>
      </c>
      <c r="L11" s="442" t="e">
        <f>#REF!*K11+K11</f>
        <v>#REF!</v>
      </c>
      <c r="N11" s="442" t="e">
        <f>L11*F11</f>
        <v>#REF!</v>
      </c>
    </row>
    <row r="12" spans="1:18" s="420" customFormat="1" ht="18" customHeight="1">
      <c r="A12" s="430">
        <v>2</v>
      </c>
      <c r="B12" s="431"/>
      <c r="C12" s="443" t="s">
        <v>326</v>
      </c>
      <c r="D12" s="444"/>
      <c r="E12" s="431"/>
      <c r="F12" s="431"/>
      <c r="G12" s="431"/>
      <c r="H12" s="431"/>
      <c r="I12" s="434">
        <f>SUM(I13:I16)</f>
        <v>4410.8056640250006</v>
      </c>
      <c r="K12" s="445"/>
      <c r="L12" s="442"/>
      <c r="N12" s="442"/>
    </row>
    <row r="13" spans="1:18" s="420" customFormat="1" ht="18" customHeight="1">
      <c r="A13" s="435" t="s">
        <v>157</v>
      </c>
      <c r="B13" s="447" t="s">
        <v>330</v>
      </c>
      <c r="C13" s="810" t="s">
        <v>208</v>
      </c>
      <c r="D13" s="811"/>
      <c r="E13" s="446" t="s">
        <v>52</v>
      </c>
      <c r="F13" s="438">
        <f>MC!B15</f>
        <v>16.3</v>
      </c>
      <c r="G13" s="439">
        <v>6.77</v>
      </c>
      <c r="H13" s="439">
        <f>G13*$I$6+G13</f>
        <v>8.6452899999999993</v>
      </c>
      <c r="I13" s="440">
        <f>F13*H13</f>
        <v>140.918227</v>
      </c>
      <c r="K13" s="445"/>
      <c r="L13" s="442"/>
      <c r="N13" s="442"/>
    </row>
    <row r="14" spans="1:18" s="420" customFormat="1" ht="18" customHeight="1">
      <c r="A14" s="435" t="s">
        <v>158</v>
      </c>
      <c r="B14" s="447" t="s">
        <v>331</v>
      </c>
      <c r="C14" s="810" t="s">
        <v>211</v>
      </c>
      <c r="D14" s="811"/>
      <c r="E14" s="446" t="s">
        <v>306</v>
      </c>
      <c r="F14" s="438">
        <f>MC!E23</f>
        <v>114.10875000000001</v>
      </c>
      <c r="G14" s="439">
        <v>14.9</v>
      </c>
      <c r="H14" s="439">
        <f>G14*$I$6+G14</f>
        <v>19.0273</v>
      </c>
      <c r="I14" s="440">
        <f>F14*H14</f>
        <v>2171.1814188750004</v>
      </c>
      <c r="K14" s="445"/>
      <c r="L14" s="442"/>
      <c r="N14" s="442"/>
    </row>
    <row r="15" spans="1:18" s="420" customFormat="1" ht="18" customHeight="1">
      <c r="A15" s="435" t="s">
        <v>159</v>
      </c>
      <c r="B15" s="447" t="s">
        <v>332</v>
      </c>
      <c r="C15" s="810" t="s">
        <v>213</v>
      </c>
      <c r="D15" s="811"/>
      <c r="E15" s="446" t="s">
        <v>307</v>
      </c>
      <c r="F15" s="438">
        <f>MC!D28</f>
        <v>114.10875000000001</v>
      </c>
      <c r="G15" s="439">
        <v>9.32</v>
      </c>
      <c r="H15" s="439">
        <f>G15*$I$6+G15</f>
        <v>11.90164</v>
      </c>
      <c r="I15" s="440">
        <f>F15*H15</f>
        <v>1358.0812633500002</v>
      </c>
      <c r="K15" s="445"/>
      <c r="L15" s="442"/>
      <c r="N15" s="442"/>
    </row>
    <row r="16" spans="1:18" s="420" customFormat="1" ht="18" customHeight="1">
      <c r="A16" s="435" t="s">
        <v>359</v>
      </c>
      <c r="B16" s="447" t="s">
        <v>358</v>
      </c>
      <c r="C16" s="810" t="s">
        <v>357</v>
      </c>
      <c r="D16" s="811"/>
      <c r="E16" s="446" t="s">
        <v>306</v>
      </c>
      <c r="F16" s="438">
        <f>MC!D36</f>
        <v>40.22</v>
      </c>
      <c r="G16" s="439">
        <v>14.42</v>
      </c>
      <c r="H16" s="439">
        <f>G16*$I$6+G16</f>
        <v>18.414339999999999</v>
      </c>
      <c r="I16" s="440">
        <f>F16*H16</f>
        <v>740.62475480000001</v>
      </c>
      <c r="K16" s="445"/>
      <c r="L16" s="442"/>
      <c r="N16" s="442"/>
    </row>
    <row r="17" spans="1:14" s="420" customFormat="1" ht="18" customHeight="1">
      <c r="A17" s="430">
        <v>3</v>
      </c>
      <c r="B17" s="431"/>
      <c r="C17" s="432" t="s">
        <v>333</v>
      </c>
      <c r="D17" s="444"/>
      <c r="E17" s="431"/>
      <c r="F17" s="431"/>
      <c r="G17" s="431"/>
      <c r="H17" s="431"/>
      <c r="I17" s="434">
        <f>SUM(I18)</f>
        <v>1128.3459624000004</v>
      </c>
      <c r="K17" s="445"/>
      <c r="L17" s="442"/>
      <c r="N17" s="442"/>
    </row>
    <row r="18" spans="1:14" s="420" customFormat="1" ht="30" customHeight="1">
      <c r="A18" s="435" t="s">
        <v>160</v>
      </c>
      <c r="B18" s="447" t="s">
        <v>308</v>
      </c>
      <c r="C18" s="810" t="s">
        <v>309</v>
      </c>
      <c r="D18" s="811"/>
      <c r="E18" s="446" t="s">
        <v>306</v>
      </c>
      <c r="F18" s="438">
        <f>MC!E48</f>
        <v>20.520000000000003</v>
      </c>
      <c r="G18" s="439">
        <v>43.06</v>
      </c>
      <c r="H18" s="439">
        <f>G18*$I$6+G18</f>
        <v>54.987620000000007</v>
      </c>
      <c r="I18" s="440">
        <f>F18*H18</f>
        <v>1128.3459624000004</v>
      </c>
      <c r="K18" s="445"/>
      <c r="L18" s="442"/>
      <c r="N18" s="442"/>
    </row>
    <row r="19" spans="1:14" s="420" customFormat="1" ht="18" customHeight="1">
      <c r="A19" s="430">
        <v>4</v>
      </c>
      <c r="B19" s="431"/>
      <c r="C19" s="432" t="s">
        <v>310</v>
      </c>
      <c r="D19" s="433"/>
      <c r="E19" s="431"/>
      <c r="F19" s="431"/>
      <c r="G19" s="431"/>
      <c r="H19" s="431"/>
      <c r="I19" s="434">
        <f>SUM(I20:I21)</f>
        <v>1580.6276928000004</v>
      </c>
      <c r="K19" s="445"/>
      <c r="L19" s="442"/>
      <c r="N19" s="442"/>
    </row>
    <row r="20" spans="1:14" s="420" customFormat="1" ht="28.9" customHeight="1">
      <c r="A20" s="435" t="s">
        <v>162</v>
      </c>
      <c r="B20" s="447" t="s">
        <v>311</v>
      </c>
      <c r="C20" s="810" t="s">
        <v>312</v>
      </c>
      <c r="D20" s="811"/>
      <c r="E20" s="446" t="s">
        <v>306</v>
      </c>
      <c r="F20" s="438">
        <f>MC!F59</f>
        <v>41.040000000000006</v>
      </c>
      <c r="G20" s="439">
        <v>6.79</v>
      </c>
      <c r="H20" s="439">
        <f>G20*$I$6+G20</f>
        <v>8.6708300000000005</v>
      </c>
      <c r="I20" s="440">
        <f>F20*H20</f>
        <v>355.85086320000005</v>
      </c>
      <c r="K20" s="445"/>
      <c r="L20" s="442"/>
      <c r="N20" s="442"/>
    </row>
    <row r="21" spans="1:14" s="420" customFormat="1" ht="28.9" customHeight="1">
      <c r="A21" s="435" t="s">
        <v>163</v>
      </c>
      <c r="B21" s="447" t="s">
        <v>313</v>
      </c>
      <c r="C21" s="810" t="s">
        <v>314</v>
      </c>
      <c r="D21" s="811"/>
      <c r="E21" s="446" t="s">
        <v>307</v>
      </c>
      <c r="F21" s="438">
        <f>MC!D64</f>
        <v>41.040000000000006</v>
      </c>
      <c r="G21" s="439">
        <v>23.37</v>
      </c>
      <c r="H21" s="439">
        <f>G21*$I$6+G21</f>
        <v>29.843490000000003</v>
      </c>
      <c r="I21" s="440">
        <f>F21*H21</f>
        <v>1224.7768296000004</v>
      </c>
      <c r="K21" s="445"/>
      <c r="L21" s="442"/>
      <c r="N21" s="442"/>
    </row>
    <row r="22" spans="1:14" s="420" customFormat="1" ht="18" customHeight="1">
      <c r="A22" s="430">
        <v>5</v>
      </c>
      <c r="B22" s="431"/>
      <c r="C22" s="443" t="s">
        <v>196</v>
      </c>
      <c r="D22" s="444"/>
      <c r="E22" s="431"/>
      <c r="F22" s="431"/>
      <c r="G22" s="431"/>
      <c r="H22" s="431"/>
      <c r="I22" s="434">
        <f>SUM(I23:I32)</f>
        <v>66142.612213384346</v>
      </c>
      <c r="K22" s="445"/>
      <c r="L22" s="442"/>
      <c r="N22" s="442"/>
    </row>
    <row r="23" spans="1:14" s="420" customFormat="1" ht="36" customHeight="1">
      <c r="A23" s="435" t="s">
        <v>164</v>
      </c>
      <c r="B23" s="460" t="s">
        <v>334</v>
      </c>
      <c r="C23" s="837" t="str">
        <f>'COMPOSIÇÃO DE CUSTO'!C3</f>
        <v>FORNECIMENTO DE ESTRUTURA METÁLICA E ENGRADAMENTO METÁLICO, EM AÇO, SOBRE LAJE PARA TELHA METÁLICA, EXCLUSIVE TELHA, INCLUSIVE FABRICAÇÃO, TRANSPORTE, MONTAGEM E E APLICAÇÃO DE FUNDO PREPARADOR ANTICORROSIVO, UMA (1) DEMÃO</v>
      </c>
      <c r="D23" s="838"/>
      <c r="E23" s="446" t="s">
        <v>306</v>
      </c>
      <c r="F23" s="438">
        <f>MC!E73</f>
        <v>116.64450000000001</v>
      </c>
      <c r="G23" s="439">
        <f>'COMPOSIÇÃO DE CUSTO'!G3</f>
        <v>287.85779618399999</v>
      </c>
      <c r="H23" s="439">
        <f t="shared" ref="H23" si="0">G23*$I$6+G23</f>
        <v>367.59440572696803</v>
      </c>
      <c r="I23" s="440">
        <f t="shared" ref="I23" si="1">F23*H23</f>
        <v>42877.865658819326</v>
      </c>
      <c r="K23" s="445"/>
      <c r="L23" s="442"/>
      <c r="N23" s="442"/>
    </row>
    <row r="24" spans="1:14" s="420" customFormat="1" ht="28.9" customHeight="1">
      <c r="A24" s="435" t="s">
        <v>165</v>
      </c>
      <c r="B24" s="447" t="s">
        <v>337</v>
      </c>
      <c r="C24" s="810" t="s">
        <v>336</v>
      </c>
      <c r="D24" s="811"/>
      <c r="E24" s="446" t="s">
        <v>306</v>
      </c>
      <c r="F24" s="438">
        <f>MC!D78</f>
        <v>116.64450000000001</v>
      </c>
      <c r="G24" s="439">
        <v>78.66</v>
      </c>
      <c r="H24" s="439">
        <f t="shared" ref="H24:H28" si="2">G24*$I$6+G24</f>
        <v>100.44882</v>
      </c>
      <c r="I24" s="440">
        <f t="shared" ref="I24:I28" si="3">F24*H24</f>
        <v>11716.80238449</v>
      </c>
      <c r="J24" s="442"/>
      <c r="K24" s="445"/>
      <c r="L24" s="442"/>
      <c r="N24" s="442"/>
    </row>
    <row r="25" spans="1:14" s="420" customFormat="1" ht="18" customHeight="1">
      <c r="A25" s="435" t="s">
        <v>190</v>
      </c>
      <c r="B25" s="447" t="s">
        <v>315</v>
      </c>
      <c r="C25" s="810" t="s">
        <v>316</v>
      </c>
      <c r="D25" s="811"/>
      <c r="E25" s="446" t="s">
        <v>52</v>
      </c>
      <c r="F25" s="438">
        <f>MC!D90</f>
        <v>44.800000000000004</v>
      </c>
      <c r="G25" s="439">
        <v>25.17</v>
      </c>
      <c r="H25" s="439">
        <f t="shared" si="2"/>
        <v>32.142090000000003</v>
      </c>
      <c r="I25" s="440">
        <f t="shared" si="3"/>
        <v>1439.9656320000004</v>
      </c>
      <c r="K25" s="445"/>
      <c r="L25" s="442"/>
      <c r="N25" s="442"/>
    </row>
    <row r="26" spans="1:14" s="420" customFormat="1" ht="18" customHeight="1">
      <c r="A26" s="435" t="s">
        <v>191</v>
      </c>
      <c r="B26" s="447" t="s">
        <v>317</v>
      </c>
      <c r="C26" s="810" t="s">
        <v>318</v>
      </c>
      <c r="D26" s="811"/>
      <c r="E26" s="446" t="s">
        <v>52</v>
      </c>
      <c r="F26" s="438">
        <f>MC!D96</f>
        <v>16.3</v>
      </c>
      <c r="G26" s="439">
        <v>64.739999999999995</v>
      </c>
      <c r="H26" s="439">
        <f t="shared" si="2"/>
        <v>82.672979999999995</v>
      </c>
      <c r="I26" s="440">
        <f t="shared" si="3"/>
        <v>1347.5695739999999</v>
      </c>
      <c r="K26" s="445"/>
      <c r="L26" s="442"/>
      <c r="N26" s="442"/>
    </row>
    <row r="27" spans="1:14" s="420" customFormat="1" ht="26.45" customHeight="1">
      <c r="A27" s="526" t="s">
        <v>192</v>
      </c>
      <c r="B27" s="447" t="s">
        <v>319</v>
      </c>
      <c r="C27" s="810" t="s">
        <v>320</v>
      </c>
      <c r="D27" s="811"/>
      <c r="E27" s="446" t="s">
        <v>52</v>
      </c>
      <c r="F27" s="438">
        <f>MC!D103</f>
        <v>13.5</v>
      </c>
      <c r="G27" s="439">
        <v>36.090000000000003</v>
      </c>
      <c r="H27" s="439">
        <f t="shared" si="2"/>
        <v>46.086930000000009</v>
      </c>
      <c r="I27" s="440">
        <f t="shared" si="3"/>
        <v>622.17355500000008</v>
      </c>
      <c r="K27" s="445"/>
      <c r="L27" s="442"/>
      <c r="N27" s="442"/>
    </row>
    <row r="28" spans="1:14" s="731" customFormat="1" ht="18" customHeight="1">
      <c r="A28" s="435" t="s">
        <v>250</v>
      </c>
      <c r="B28" s="436" t="s">
        <v>404</v>
      </c>
      <c r="C28" s="799" t="s">
        <v>405</v>
      </c>
      <c r="D28" s="800"/>
      <c r="E28" s="446" t="s">
        <v>52</v>
      </c>
      <c r="F28" s="728">
        <f>MC!D111</f>
        <v>44.800000000000004</v>
      </c>
      <c r="G28" s="729">
        <v>53.88</v>
      </c>
      <c r="H28" s="729">
        <f t="shared" si="2"/>
        <v>68.804760000000002</v>
      </c>
      <c r="I28" s="730">
        <f t="shared" si="3"/>
        <v>3082.4532480000003</v>
      </c>
      <c r="K28" s="732"/>
      <c r="L28" s="733"/>
      <c r="N28" s="733"/>
    </row>
    <row r="29" spans="1:14" s="731" customFormat="1" ht="18" customHeight="1">
      <c r="A29" s="435" t="s">
        <v>412</v>
      </c>
      <c r="B29" s="436" t="s">
        <v>410</v>
      </c>
      <c r="C29" s="799" t="s">
        <v>411</v>
      </c>
      <c r="D29" s="800"/>
      <c r="E29" s="446" t="s">
        <v>306</v>
      </c>
      <c r="F29" s="728">
        <f>MC!E119</f>
        <v>40.217500000000001</v>
      </c>
      <c r="G29" s="729">
        <v>8.77</v>
      </c>
      <c r="H29" s="729">
        <f>G29*$I$6+G29</f>
        <v>11.19929</v>
      </c>
      <c r="I29" s="730">
        <f>F29*H29</f>
        <v>450.407445575</v>
      </c>
      <c r="K29" s="732"/>
      <c r="L29" s="733"/>
      <c r="N29" s="733"/>
    </row>
    <row r="30" spans="1:14" s="731" customFormat="1" ht="18" customHeight="1">
      <c r="A30" s="435" t="s">
        <v>413</v>
      </c>
      <c r="B30" s="436" t="s">
        <v>408</v>
      </c>
      <c r="C30" s="799" t="s">
        <v>409</v>
      </c>
      <c r="D30" s="800"/>
      <c r="E30" s="446" t="s">
        <v>306</v>
      </c>
      <c r="F30" s="728">
        <f>MC!E126</f>
        <v>143.55450000000002</v>
      </c>
      <c r="G30" s="729">
        <v>12.2</v>
      </c>
      <c r="H30" s="729">
        <f>G30*$I$6+G30</f>
        <v>15.5794</v>
      </c>
      <c r="I30" s="730">
        <f>F30*H30</f>
        <v>2236.4929773000003</v>
      </c>
      <c r="K30" s="732"/>
      <c r="L30" s="733"/>
      <c r="N30" s="733"/>
    </row>
    <row r="31" spans="1:14" s="731" customFormat="1" ht="18" customHeight="1">
      <c r="A31" s="435" t="s">
        <v>414</v>
      </c>
      <c r="B31" s="436" t="s">
        <v>407</v>
      </c>
      <c r="C31" s="799" t="s">
        <v>406</v>
      </c>
      <c r="D31" s="800"/>
      <c r="E31" s="446" t="s">
        <v>306</v>
      </c>
      <c r="F31" s="728">
        <f>MC!E135</f>
        <v>40.217500000000001</v>
      </c>
      <c r="G31" s="729">
        <v>36.72</v>
      </c>
      <c r="H31" s="729">
        <f>G31*$I$6+G31</f>
        <v>46.891440000000003</v>
      </c>
      <c r="I31" s="730">
        <f>F31*H31</f>
        <v>1885.8564882000001</v>
      </c>
      <c r="K31" s="732"/>
      <c r="L31" s="733"/>
      <c r="N31" s="733"/>
    </row>
    <row r="32" spans="1:14" s="731" customFormat="1" ht="18" customHeight="1">
      <c r="A32" s="435" t="s">
        <v>446</v>
      </c>
      <c r="B32" s="436" t="s">
        <v>445</v>
      </c>
      <c r="C32" s="799" t="s">
        <v>447</v>
      </c>
      <c r="D32" s="800"/>
      <c r="E32" s="446" t="s">
        <v>52</v>
      </c>
      <c r="F32" s="728">
        <f>MC!D148</f>
        <v>44.500000000000007</v>
      </c>
      <c r="G32" s="729">
        <v>8.5</v>
      </c>
      <c r="H32" s="729">
        <f>G32*$I$6+G32</f>
        <v>10.8545</v>
      </c>
      <c r="I32" s="730">
        <f>F32*H32</f>
        <v>483.02525000000009</v>
      </c>
      <c r="K32" s="732"/>
      <c r="L32" s="733"/>
      <c r="N32" s="733"/>
    </row>
    <row r="33" spans="1:14" s="420" customFormat="1" ht="18" customHeight="1">
      <c r="A33" s="430">
        <v>6</v>
      </c>
      <c r="B33" s="431"/>
      <c r="C33" s="443" t="s">
        <v>415</v>
      </c>
      <c r="D33" s="444"/>
      <c r="E33" s="431"/>
      <c r="F33" s="431"/>
      <c r="G33" s="431"/>
      <c r="H33" s="431"/>
      <c r="I33" s="434">
        <f>SUM(I34:I35)</f>
        <v>1931.18156</v>
      </c>
      <c r="K33" s="445"/>
      <c r="L33" s="442"/>
      <c r="N33" s="442"/>
    </row>
    <row r="34" spans="1:14" s="731" customFormat="1" ht="48.6" customHeight="1">
      <c r="A34" s="435" t="s">
        <v>166</v>
      </c>
      <c r="B34" s="436" t="s">
        <v>416</v>
      </c>
      <c r="C34" s="799" t="s">
        <v>417</v>
      </c>
      <c r="D34" s="800"/>
      <c r="E34" s="446" t="s">
        <v>269</v>
      </c>
      <c r="F34" s="728">
        <f>MC!C158</f>
        <v>7</v>
      </c>
      <c r="G34" s="729">
        <v>103.54</v>
      </c>
      <c r="H34" s="729">
        <f t="shared" ref="H34:H35" si="4">G34*$I$6+G34</f>
        <v>132.22058000000001</v>
      </c>
      <c r="I34" s="730">
        <f>F34*H34</f>
        <v>925.54406000000006</v>
      </c>
      <c r="K34" s="732"/>
      <c r="L34" s="733"/>
      <c r="N34" s="733"/>
    </row>
    <row r="35" spans="1:14" s="731" customFormat="1" ht="18.75" customHeight="1">
      <c r="A35" s="435" t="s">
        <v>167</v>
      </c>
      <c r="B35" s="460" t="s">
        <v>418</v>
      </c>
      <c r="C35" s="735" t="str">
        <f>'COMPOSIÇÃO DE CUSTO'!C12</f>
        <v>PLAFON LED QUADRADO/CIRCULAR DE EMBUTIR 20X20 24W, REFERÊNCIA SLIM AVANT</v>
      </c>
      <c r="D35" s="449"/>
      <c r="E35" s="446" t="s">
        <v>269</v>
      </c>
      <c r="F35" s="728">
        <f>MC!C165</f>
        <v>7</v>
      </c>
      <c r="G35" s="729">
        <f>'COMPOSIÇÃO DE CUSTO'!G12</f>
        <v>112.5</v>
      </c>
      <c r="H35" s="729">
        <f t="shared" si="4"/>
        <v>143.66249999999999</v>
      </c>
      <c r="I35" s="730">
        <f>F35*H35</f>
        <v>1005.6374999999999</v>
      </c>
      <c r="K35" s="732"/>
      <c r="L35" s="733"/>
      <c r="N35" s="733"/>
    </row>
    <row r="36" spans="1:14" s="420" customFormat="1" ht="18" customHeight="1">
      <c r="A36" s="430">
        <v>7</v>
      </c>
      <c r="B36" s="431"/>
      <c r="C36" s="432" t="s">
        <v>321</v>
      </c>
      <c r="D36" s="433"/>
      <c r="E36" s="431"/>
      <c r="F36" s="431"/>
      <c r="G36" s="431"/>
      <c r="H36" s="431"/>
      <c r="I36" s="434">
        <f>SUM(I37:I44)</f>
        <v>13601.529787599999</v>
      </c>
      <c r="K36" s="445"/>
      <c r="L36" s="442"/>
      <c r="N36" s="442"/>
    </row>
    <row r="37" spans="1:14" s="420" customFormat="1" ht="18.75" customHeight="1">
      <c r="A37" s="435" t="s">
        <v>452</v>
      </c>
      <c r="B37" s="436" t="s">
        <v>354</v>
      </c>
      <c r="C37" s="448" t="s">
        <v>353</v>
      </c>
      <c r="D37" s="449"/>
      <c r="E37" s="446" t="s">
        <v>306</v>
      </c>
      <c r="F37" s="438">
        <f>MC!H230</f>
        <v>497.78999999999991</v>
      </c>
      <c r="G37" s="439">
        <v>2.2999999999999998</v>
      </c>
      <c r="H37" s="439">
        <f>G37*$I$6+G37</f>
        <v>2.9371</v>
      </c>
      <c r="I37" s="440">
        <f>F37*H37</f>
        <v>1462.0590089999998</v>
      </c>
      <c r="K37" s="445"/>
      <c r="L37" s="442"/>
      <c r="N37" s="442"/>
    </row>
    <row r="38" spans="1:14" s="420" customFormat="1" ht="18.75" customHeight="1">
      <c r="A38" s="435" t="s">
        <v>453</v>
      </c>
      <c r="B38" s="436" t="s">
        <v>322</v>
      </c>
      <c r="C38" s="448" t="s">
        <v>323</v>
      </c>
      <c r="D38" s="449"/>
      <c r="E38" s="446" t="s">
        <v>306</v>
      </c>
      <c r="F38" s="438">
        <f>MC!H230</f>
        <v>497.78999999999991</v>
      </c>
      <c r="G38" s="439">
        <v>4.83</v>
      </c>
      <c r="H38" s="439">
        <f t="shared" ref="H38:H44" si="5">G38*$I$6+G38</f>
        <v>6.16791</v>
      </c>
      <c r="I38" s="440">
        <f t="shared" ref="I38:I44" si="6">F38*H38</f>
        <v>3070.3239188999996</v>
      </c>
      <c r="K38" s="445"/>
      <c r="L38" s="442"/>
      <c r="N38" s="442"/>
    </row>
    <row r="39" spans="1:14" s="420" customFormat="1" ht="18.75" customHeight="1">
      <c r="A39" s="435" t="s">
        <v>454</v>
      </c>
      <c r="B39" s="436" t="s">
        <v>403</v>
      </c>
      <c r="C39" s="448" t="s">
        <v>402</v>
      </c>
      <c r="D39" s="449"/>
      <c r="E39" s="446" t="s">
        <v>306</v>
      </c>
      <c r="F39" s="438">
        <f>MC!I230</f>
        <v>309.16999999999996</v>
      </c>
      <c r="G39" s="439">
        <v>10.01</v>
      </c>
      <c r="H39" s="439">
        <f t="shared" ref="H39" si="7">G39*$I$6+G39</f>
        <v>12.782769999999999</v>
      </c>
      <c r="I39" s="440">
        <f t="shared" ref="I39" si="8">F39*H39</f>
        <v>3952.0490008999991</v>
      </c>
      <c r="K39" s="445"/>
      <c r="L39" s="442"/>
      <c r="N39" s="442"/>
    </row>
    <row r="40" spans="1:14" s="420" customFormat="1" ht="18.75" customHeight="1">
      <c r="A40" s="435" t="s">
        <v>455</v>
      </c>
      <c r="B40" s="436" t="s">
        <v>355</v>
      </c>
      <c r="C40" s="448" t="s">
        <v>356</v>
      </c>
      <c r="D40" s="449"/>
      <c r="E40" s="446" t="s">
        <v>306</v>
      </c>
      <c r="F40" s="438">
        <f>MC!J230</f>
        <v>188.62</v>
      </c>
      <c r="G40" s="439">
        <v>11.58</v>
      </c>
      <c r="H40" s="439">
        <f t="shared" si="5"/>
        <v>14.787660000000001</v>
      </c>
      <c r="I40" s="440">
        <f t="shared" si="6"/>
        <v>2789.2484292000004</v>
      </c>
      <c r="K40" s="445"/>
      <c r="L40" s="442"/>
      <c r="N40" s="442"/>
    </row>
    <row r="41" spans="1:14" s="731" customFormat="1" ht="26.45" customHeight="1">
      <c r="A41" s="435" t="s">
        <v>456</v>
      </c>
      <c r="B41" s="436" t="s">
        <v>448</v>
      </c>
      <c r="C41" s="799" t="s">
        <v>449</v>
      </c>
      <c r="D41" s="800"/>
      <c r="E41" s="446" t="s">
        <v>306</v>
      </c>
      <c r="F41" s="728">
        <f>MC!D253</f>
        <v>40.22</v>
      </c>
      <c r="G41" s="729">
        <v>4.32</v>
      </c>
      <c r="H41" s="729">
        <f t="shared" ref="H41" si="9">G41*$I$6+G41</f>
        <v>5.5166400000000007</v>
      </c>
      <c r="I41" s="730">
        <f t="shared" ref="I41" si="10">F41*H41</f>
        <v>221.87926080000003</v>
      </c>
      <c r="K41" s="732"/>
      <c r="L41" s="733"/>
      <c r="N41" s="733"/>
    </row>
    <row r="42" spans="1:14" s="731" customFormat="1" ht="18.75" customHeight="1">
      <c r="A42" s="435" t="s">
        <v>457</v>
      </c>
      <c r="B42" s="460" t="s">
        <v>450</v>
      </c>
      <c r="C42" s="735" t="s">
        <v>451</v>
      </c>
      <c r="D42" s="449"/>
      <c r="E42" s="446" t="s">
        <v>306</v>
      </c>
      <c r="F42" s="728">
        <f>MC!E253</f>
        <v>40.22</v>
      </c>
      <c r="G42" s="729">
        <v>11.99</v>
      </c>
      <c r="H42" s="729">
        <f t="shared" ref="H42" si="11">G42*$I$6+G42</f>
        <v>15.31123</v>
      </c>
      <c r="I42" s="730">
        <f t="shared" ref="I42" si="12">F42*H42</f>
        <v>615.81767060000004</v>
      </c>
      <c r="K42" s="732"/>
      <c r="L42" s="733"/>
      <c r="N42" s="733"/>
    </row>
    <row r="43" spans="1:14" s="420" customFormat="1" ht="18.75" customHeight="1">
      <c r="A43" s="435" t="s">
        <v>458</v>
      </c>
      <c r="B43" s="436" t="s">
        <v>374</v>
      </c>
      <c r="C43" s="448" t="s">
        <v>375</v>
      </c>
      <c r="D43" s="449"/>
      <c r="E43" s="446" t="s">
        <v>306</v>
      </c>
      <c r="F43" s="438">
        <f>MC!F253</f>
        <v>67.180000000000007</v>
      </c>
      <c r="G43" s="439">
        <v>6.13</v>
      </c>
      <c r="H43" s="439">
        <f t="shared" ref="H43" si="13">G43*$I$6+G43</f>
        <v>7.8280099999999999</v>
      </c>
      <c r="I43" s="440">
        <f t="shared" ref="I43" si="14">F43*H43</f>
        <v>525.88571180000008</v>
      </c>
      <c r="K43" s="445"/>
      <c r="L43" s="442"/>
      <c r="N43" s="442"/>
    </row>
    <row r="44" spans="1:14" s="420" customFormat="1" ht="18.75" customHeight="1" thickBot="1">
      <c r="A44" s="435" t="s">
        <v>459</v>
      </c>
      <c r="B44" s="436" t="s">
        <v>324</v>
      </c>
      <c r="C44" s="448" t="s">
        <v>325</v>
      </c>
      <c r="D44" s="449"/>
      <c r="E44" s="446" t="s">
        <v>306</v>
      </c>
      <c r="F44" s="438">
        <f>MC!G253</f>
        <v>67.180000000000007</v>
      </c>
      <c r="G44" s="439">
        <v>11.24</v>
      </c>
      <c r="H44" s="439">
        <f t="shared" si="5"/>
        <v>14.353480000000001</v>
      </c>
      <c r="I44" s="440">
        <f t="shared" si="6"/>
        <v>964.26678640000023</v>
      </c>
      <c r="K44" s="445"/>
      <c r="L44" s="442"/>
      <c r="N44" s="442"/>
    </row>
    <row r="45" spans="1:14" ht="31.15" customHeight="1" thickBot="1">
      <c r="A45" s="830" t="s">
        <v>180</v>
      </c>
      <c r="B45" s="831"/>
      <c r="C45" s="831"/>
      <c r="D45" s="831"/>
      <c r="E45" s="831"/>
      <c r="F45" s="831"/>
      <c r="G45" s="831"/>
      <c r="H45" s="832"/>
      <c r="I45" s="752">
        <f>I9</f>
        <v>89281.307860209345</v>
      </c>
      <c r="N45" s="450" t="e">
        <f>SUM(N11:N27)</f>
        <v>#REF!</v>
      </c>
    </row>
    <row r="46" spans="1:14" ht="21.75" customHeight="1">
      <c r="A46" s="833"/>
      <c r="B46" s="833"/>
      <c r="C46" s="833"/>
      <c r="D46" s="833"/>
      <c r="E46" s="833"/>
      <c r="F46" s="833"/>
      <c r="G46" s="833"/>
      <c r="H46" s="833"/>
      <c r="I46" s="833"/>
    </row>
    <row r="47" spans="1:14" ht="8.1" customHeight="1">
      <c r="A47" s="834"/>
      <c r="B47" s="834"/>
      <c r="C47" s="834"/>
      <c r="D47" s="834"/>
      <c r="E47" s="834"/>
      <c r="F47" s="834"/>
      <c r="G47" s="834"/>
      <c r="H47" s="834"/>
      <c r="I47" s="834"/>
    </row>
    <row r="48" spans="1:14" ht="11.25" customHeight="1">
      <c r="A48" s="451"/>
      <c r="B48" s="451"/>
      <c r="C48" s="451"/>
      <c r="D48" s="451"/>
      <c r="E48" s="451"/>
      <c r="F48" s="451"/>
      <c r="G48" s="452"/>
      <c r="H48" s="452"/>
      <c r="I48" s="452"/>
    </row>
    <row r="49" spans="1:9" ht="11.25" customHeight="1">
      <c r="A49" s="451"/>
      <c r="B49" s="835"/>
      <c r="C49" s="835"/>
      <c r="D49" s="453"/>
      <c r="E49" s="451"/>
      <c r="F49" s="836"/>
      <c r="G49" s="836"/>
      <c r="H49" s="454"/>
      <c r="I49" s="452"/>
    </row>
    <row r="50" spans="1:9">
      <c r="A50" s="455"/>
      <c r="B50" s="456" t="s">
        <v>327</v>
      </c>
      <c r="C50" s="456"/>
      <c r="D50" s="456"/>
      <c r="E50" s="455"/>
      <c r="F50" s="829" t="s">
        <v>328</v>
      </c>
      <c r="G50" s="829"/>
      <c r="H50" s="457"/>
      <c r="I50" s="458"/>
    </row>
    <row r="52" spans="1:9" ht="11.25" customHeight="1">
      <c r="A52" s="451"/>
      <c r="B52" s="835"/>
      <c r="C52" s="835"/>
      <c r="D52" s="453"/>
      <c r="E52" s="451"/>
      <c r="F52" s="835"/>
      <c r="G52" s="835"/>
      <c r="H52" s="454"/>
      <c r="I52" s="452"/>
    </row>
    <row r="53" spans="1:9">
      <c r="A53" s="455"/>
      <c r="B53" s="456" t="s">
        <v>483</v>
      </c>
      <c r="C53" s="456"/>
      <c r="D53" s="459"/>
      <c r="E53" s="455"/>
      <c r="F53" s="829"/>
      <c r="G53" s="829"/>
      <c r="H53" s="457"/>
      <c r="I53" s="458"/>
    </row>
    <row r="54" spans="1:9" ht="11.25" customHeight="1"/>
    <row r="55" spans="1:9" ht="9.75" customHeight="1"/>
    <row r="56" spans="1:9" ht="14.1" customHeight="1"/>
    <row r="64" spans="1:9">
      <c r="D64" s="416">
        <f>D62-D63</f>
        <v>0</v>
      </c>
    </row>
  </sheetData>
  <mergeCells count="43">
    <mergeCell ref="F53:G53"/>
    <mergeCell ref="A45:H45"/>
    <mergeCell ref="A46:I46"/>
    <mergeCell ref="A47:I47"/>
    <mergeCell ref="C16:D16"/>
    <mergeCell ref="B49:C49"/>
    <mergeCell ref="F49:G49"/>
    <mergeCell ref="F50:G50"/>
    <mergeCell ref="B52:C52"/>
    <mergeCell ref="F52:G52"/>
    <mergeCell ref="C25:D25"/>
    <mergeCell ref="C27:D27"/>
    <mergeCell ref="C18:D18"/>
    <mergeCell ref="C23:D23"/>
    <mergeCell ref="C24:D24"/>
    <mergeCell ref="C20:D20"/>
    <mergeCell ref="A5:E5"/>
    <mergeCell ref="H5:I5"/>
    <mergeCell ref="C15:D15"/>
    <mergeCell ref="C14:D14"/>
    <mergeCell ref="C13:D13"/>
    <mergeCell ref="C8:D8"/>
    <mergeCell ref="A9:H9"/>
    <mergeCell ref="C11:D11"/>
    <mergeCell ref="A2:I2"/>
    <mergeCell ref="A3:E3"/>
    <mergeCell ref="F3:I3"/>
    <mergeCell ref="A4:E4"/>
    <mergeCell ref="F4:I4"/>
    <mergeCell ref="C41:D41"/>
    <mergeCell ref="A6:E6"/>
    <mergeCell ref="K6:L6"/>
    <mergeCell ref="A7:I7"/>
    <mergeCell ref="K8:K10"/>
    <mergeCell ref="L8:L10"/>
    <mergeCell ref="C21:D21"/>
    <mergeCell ref="C31:D31"/>
    <mergeCell ref="C26:D26"/>
    <mergeCell ref="C34:D34"/>
    <mergeCell ref="C28:D28"/>
    <mergeCell ref="C29:D29"/>
    <mergeCell ref="C30:D30"/>
    <mergeCell ref="C32:D32"/>
  </mergeCells>
  <printOptions horizontalCentered="1"/>
  <pageMargins left="7.874015748031496E-2" right="0" top="0.39370078740157483" bottom="0" header="0" footer="0"/>
  <pageSetup paperSize="9" scale="72" orientation="landscape" r:id="rId1"/>
  <headerFooter alignWithMargins="0"/>
  <rowBreaks count="1" manualBreakCount="1">
    <brk id="32" max="8" man="1"/>
  </row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view="pageBreakPreview" zoomScaleSheetLayoutView="100" workbookViewId="0">
      <selection sqref="A1:F1"/>
    </sheetView>
  </sheetViews>
  <sheetFormatPr defaultRowHeight="12.75"/>
  <cols>
    <col min="1" max="1" width="12.140625" style="487" customWidth="1"/>
    <col min="2" max="2" width="44.140625" style="487" customWidth="1"/>
    <col min="3" max="3" width="24.7109375" style="487" customWidth="1"/>
    <col min="4" max="4" width="18.42578125" style="487" customWidth="1"/>
    <col min="5" max="5" width="16.85546875" style="487" customWidth="1"/>
    <col min="6" max="6" width="16.7109375" style="487" customWidth="1"/>
    <col min="7" max="8" width="10.28515625" style="487" bestFit="1" customWidth="1"/>
    <col min="9" max="255" width="8.85546875" style="487"/>
    <col min="256" max="256" width="12.140625" style="487" customWidth="1"/>
    <col min="257" max="257" width="44.140625" style="487" customWidth="1"/>
    <col min="258" max="258" width="24.7109375" style="487" customWidth="1"/>
    <col min="259" max="259" width="16.85546875" style="487" customWidth="1"/>
    <col min="260" max="262" width="15.7109375" style="487" customWidth="1"/>
    <col min="263" max="264" width="10.28515625" style="487" bestFit="1" customWidth="1"/>
    <col min="265" max="511" width="8.85546875" style="487"/>
    <col min="512" max="512" width="12.140625" style="487" customWidth="1"/>
    <col min="513" max="513" width="44.140625" style="487" customWidth="1"/>
    <col min="514" max="514" width="24.7109375" style="487" customWidth="1"/>
    <col min="515" max="515" width="16.85546875" style="487" customWidth="1"/>
    <col min="516" max="518" width="15.7109375" style="487" customWidth="1"/>
    <col min="519" max="520" width="10.28515625" style="487" bestFit="1" customWidth="1"/>
    <col min="521" max="767" width="8.85546875" style="487"/>
    <col min="768" max="768" width="12.140625" style="487" customWidth="1"/>
    <col min="769" max="769" width="44.140625" style="487" customWidth="1"/>
    <col min="770" max="770" width="24.7109375" style="487" customWidth="1"/>
    <col min="771" max="771" width="16.85546875" style="487" customWidth="1"/>
    <col min="772" max="774" width="15.7109375" style="487" customWidth="1"/>
    <col min="775" max="776" width="10.28515625" style="487" bestFit="1" customWidth="1"/>
    <col min="777" max="1023" width="8.85546875" style="487"/>
    <col min="1024" max="1024" width="12.140625" style="487" customWidth="1"/>
    <col min="1025" max="1025" width="44.140625" style="487" customWidth="1"/>
    <col min="1026" max="1026" width="24.7109375" style="487" customWidth="1"/>
    <col min="1027" max="1027" width="16.85546875" style="487" customWidth="1"/>
    <col min="1028" max="1030" width="15.7109375" style="487" customWidth="1"/>
    <col min="1031" max="1032" width="10.28515625" style="487" bestFit="1" customWidth="1"/>
    <col min="1033" max="1279" width="8.85546875" style="487"/>
    <col min="1280" max="1280" width="12.140625" style="487" customWidth="1"/>
    <col min="1281" max="1281" width="44.140625" style="487" customWidth="1"/>
    <col min="1282" max="1282" width="24.7109375" style="487" customWidth="1"/>
    <col min="1283" max="1283" width="16.85546875" style="487" customWidth="1"/>
    <col min="1284" max="1286" width="15.7109375" style="487" customWidth="1"/>
    <col min="1287" max="1288" width="10.28515625" style="487" bestFit="1" customWidth="1"/>
    <col min="1289" max="1535" width="8.85546875" style="487"/>
    <col min="1536" max="1536" width="12.140625" style="487" customWidth="1"/>
    <col min="1537" max="1537" width="44.140625" style="487" customWidth="1"/>
    <col min="1538" max="1538" width="24.7109375" style="487" customWidth="1"/>
    <col min="1539" max="1539" width="16.85546875" style="487" customWidth="1"/>
    <col min="1540" max="1542" width="15.7109375" style="487" customWidth="1"/>
    <col min="1543" max="1544" width="10.28515625" style="487" bestFit="1" customWidth="1"/>
    <col min="1545" max="1791" width="8.85546875" style="487"/>
    <col min="1792" max="1792" width="12.140625" style="487" customWidth="1"/>
    <col min="1793" max="1793" width="44.140625" style="487" customWidth="1"/>
    <col min="1794" max="1794" width="24.7109375" style="487" customWidth="1"/>
    <col min="1795" max="1795" width="16.85546875" style="487" customWidth="1"/>
    <col min="1796" max="1798" width="15.7109375" style="487" customWidth="1"/>
    <col min="1799" max="1800" width="10.28515625" style="487" bestFit="1" customWidth="1"/>
    <col min="1801" max="2047" width="8.85546875" style="487"/>
    <col min="2048" max="2048" width="12.140625" style="487" customWidth="1"/>
    <col min="2049" max="2049" width="44.140625" style="487" customWidth="1"/>
    <col min="2050" max="2050" width="24.7109375" style="487" customWidth="1"/>
    <col min="2051" max="2051" width="16.85546875" style="487" customWidth="1"/>
    <col min="2052" max="2054" width="15.7109375" style="487" customWidth="1"/>
    <col min="2055" max="2056" width="10.28515625" style="487" bestFit="1" customWidth="1"/>
    <col min="2057" max="2303" width="8.85546875" style="487"/>
    <col min="2304" max="2304" width="12.140625" style="487" customWidth="1"/>
    <col min="2305" max="2305" width="44.140625" style="487" customWidth="1"/>
    <col min="2306" max="2306" width="24.7109375" style="487" customWidth="1"/>
    <col min="2307" max="2307" width="16.85546875" style="487" customWidth="1"/>
    <col min="2308" max="2310" width="15.7109375" style="487" customWidth="1"/>
    <col min="2311" max="2312" width="10.28515625" style="487" bestFit="1" customWidth="1"/>
    <col min="2313" max="2559" width="8.85546875" style="487"/>
    <col min="2560" max="2560" width="12.140625" style="487" customWidth="1"/>
    <col min="2561" max="2561" width="44.140625" style="487" customWidth="1"/>
    <col min="2562" max="2562" width="24.7109375" style="487" customWidth="1"/>
    <col min="2563" max="2563" width="16.85546875" style="487" customWidth="1"/>
    <col min="2564" max="2566" width="15.7109375" style="487" customWidth="1"/>
    <col min="2567" max="2568" width="10.28515625" style="487" bestFit="1" customWidth="1"/>
    <col min="2569" max="2815" width="8.85546875" style="487"/>
    <col min="2816" max="2816" width="12.140625" style="487" customWidth="1"/>
    <col min="2817" max="2817" width="44.140625" style="487" customWidth="1"/>
    <col min="2818" max="2818" width="24.7109375" style="487" customWidth="1"/>
    <col min="2819" max="2819" width="16.85546875" style="487" customWidth="1"/>
    <col min="2820" max="2822" width="15.7109375" style="487" customWidth="1"/>
    <col min="2823" max="2824" width="10.28515625" style="487" bestFit="1" customWidth="1"/>
    <col min="2825" max="3071" width="8.85546875" style="487"/>
    <col min="3072" max="3072" width="12.140625" style="487" customWidth="1"/>
    <col min="3073" max="3073" width="44.140625" style="487" customWidth="1"/>
    <col min="3074" max="3074" width="24.7109375" style="487" customWidth="1"/>
    <col min="3075" max="3075" width="16.85546875" style="487" customWidth="1"/>
    <col min="3076" max="3078" width="15.7109375" style="487" customWidth="1"/>
    <col min="3079" max="3080" width="10.28515625" style="487" bestFit="1" customWidth="1"/>
    <col min="3081" max="3327" width="8.85546875" style="487"/>
    <col min="3328" max="3328" width="12.140625" style="487" customWidth="1"/>
    <col min="3329" max="3329" width="44.140625" style="487" customWidth="1"/>
    <col min="3330" max="3330" width="24.7109375" style="487" customWidth="1"/>
    <col min="3331" max="3331" width="16.85546875" style="487" customWidth="1"/>
    <col min="3332" max="3334" width="15.7109375" style="487" customWidth="1"/>
    <col min="3335" max="3336" width="10.28515625" style="487" bestFit="1" customWidth="1"/>
    <col min="3337" max="3583" width="8.85546875" style="487"/>
    <col min="3584" max="3584" width="12.140625" style="487" customWidth="1"/>
    <col min="3585" max="3585" width="44.140625" style="487" customWidth="1"/>
    <col min="3586" max="3586" width="24.7109375" style="487" customWidth="1"/>
    <col min="3587" max="3587" width="16.85546875" style="487" customWidth="1"/>
    <col min="3588" max="3590" width="15.7109375" style="487" customWidth="1"/>
    <col min="3591" max="3592" width="10.28515625" style="487" bestFit="1" customWidth="1"/>
    <col min="3593" max="3839" width="8.85546875" style="487"/>
    <col min="3840" max="3840" width="12.140625" style="487" customWidth="1"/>
    <col min="3841" max="3841" width="44.140625" style="487" customWidth="1"/>
    <col min="3842" max="3842" width="24.7109375" style="487" customWidth="1"/>
    <col min="3843" max="3843" width="16.85546875" style="487" customWidth="1"/>
    <col min="3844" max="3846" width="15.7109375" style="487" customWidth="1"/>
    <col min="3847" max="3848" width="10.28515625" style="487" bestFit="1" customWidth="1"/>
    <col min="3849" max="4095" width="8.85546875" style="487"/>
    <col min="4096" max="4096" width="12.140625" style="487" customWidth="1"/>
    <col min="4097" max="4097" width="44.140625" style="487" customWidth="1"/>
    <col min="4098" max="4098" width="24.7109375" style="487" customWidth="1"/>
    <col min="4099" max="4099" width="16.85546875" style="487" customWidth="1"/>
    <col min="4100" max="4102" width="15.7109375" style="487" customWidth="1"/>
    <col min="4103" max="4104" width="10.28515625" style="487" bestFit="1" customWidth="1"/>
    <col min="4105" max="4351" width="8.85546875" style="487"/>
    <col min="4352" max="4352" width="12.140625" style="487" customWidth="1"/>
    <col min="4353" max="4353" width="44.140625" style="487" customWidth="1"/>
    <col min="4354" max="4354" width="24.7109375" style="487" customWidth="1"/>
    <col min="4355" max="4355" width="16.85546875" style="487" customWidth="1"/>
    <col min="4356" max="4358" width="15.7109375" style="487" customWidth="1"/>
    <col min="4359" max="4360" width="10.28515625" style="487" bestFit="1" customWidth="1"/>
    <col min="4361" max="4607" width="8.85546875" style="487"/>
    <col min="4608" max="4608" width="12.140625" style="487" customWidth="1"/>
    <col min="4609" max="4609" width="44.140625" style="487" customWidth="1"/>
    <col min="4610" max="4610" width="24.7109375" style="487" customWidth="1"/>
    <col min="4611" max="4611" width="16.85546875" style="487" customWidth="1"/>
    <col min="4612" max="4614" width="15.7109375" style="487" customWidth="1"/>
    <col min="4615" max="4616" width="10.28515625" style="487" bestFit="1" customWidth="1"/>
    <col min="4617" max="4863" width="8.85546875" style="487"/>
    <col min="4864" max="4864" width="12.140625" style="487" customWidth="1"/>
    <col min="4865" max="4865" width="44.140625" style="487" customWidth="1"/>
    <col min="4866" max="4866" width="24.7109375" style="487" customWidth="1"/>
    <col min="4867" max="4867" width="16.85546875" style="487" customWidth="1"/>
    <col min="4868" max="4870" width="15.7109375" style="487" customWidth="1"/>
    <col min="4871" max="4872" width="10.28515625" style="487" bestFit="1" customWidth="1"/>
    <col min="4873" max="5119" width="8.85546875" style="487"/>
    <col min="5120" max="5120" width="12.140625" style="487" customWidth="1"/>
    <col min="5121" max="5121" width="44.140625" style="487" customWidth="1"/>
    <col min="5122" max="5122" width="24.7109375" style="487" customWidth="1"/>
    <col min="5123" max="5123" width="16.85546875" style="487" customWidth="1"/>
    <col min="5124" max="5126" width="15.7109375" style="487" customWidth="1"/>
    <col min="5127" max="5128" width="10.28515625" style="487" bestFit="1" customWidth="1"/>
    <col min="5129" max="5375" width="8.85546875" style="487"/>
    <col min="5376" max="5376" width="12.140625" style="487" customWidth="1"/>
    <col min="5377" max="5377" width="44.140625" style="487" customWidth="1"/>
    <col min="5378" max="5378" width="24.7109375" style="487" customWidth="1"/>
    <col min="5379" max="5379" width="16.85546875" style="487" customWidth="1"/>
    <col min="5380" max="5382" width="15.7109375" style="487" customWidth="1"/>
    <col min="5383" max="5384" width="10.28515625" style="487" bestFit="1" customWidth="1"/>
    <col min="5385" max="5631" width="8.85546875" style="487"/>
    <col min="5632" max="5632" width="12.140625" style="487" customWidth="1"/>
    <col min="5633" max="5633" width="44.140625" style="487" customWidth="1"/>
    <col min="5634" max="5634" width="24.7109375" style="487" customWidth="1"/>
    <col min="5635" max="5635" width="16.85546875" style="487" customWidth="1"/>
    <col min="5636" max="5638" width="15.7109375" style="487" customWidth="1"/>
    <col min="5639" max="5640" width="10.28515625" style="487" bestFit="1" customWidth="1"/>
    <col min="5641" max="5887" width="8.85546875" style="487"/>
    <col min="5888" max="5888" width="12.140625" style="487" customWidth="1"/>
    <col min="5889" max="5889" width="44.140625" style="487" customWidth="1"/>
    <col min="5890" max="5890" width="24.7109375" style="487" customWidth="1"/>
    <col min="5891" max="5891" width="16.85546875" style="487" customWidth="1"/>
    <col min="5892" max="5894" width="15.7109375" style="487" customWidth="1"/>
    <col min="5895" max="5896" width="10.28515625" style="487" bestFit="1" customWidth="1"/>
    <col min="5897" max="6143" width="8.85546875" style="487"/>
    <col min="6144" max="6144" width="12.140625" style="487" customWidth="1"/>
    <col min="6145" max="6145" width="44.140625" style="487" customWidth="1"/>
    <col min="6146" max="6146" width="24.7109375" style="487" customWidth="1"/>
    <col min="6147" max="6147" width="16.85546875" style="487" customWidth="1"/>
    <col min="6148" max="6150" width="15.7109375" style="487" customWidth="1"/>
    <col min="6151" max="6152" width="10.28515625" style="487" bestFit="1" customWidth="1"/>
    <col min="6153" max="6399" width="8.85546875" style="487"/>
    <col min="6400" max="6400" width="12.140625" style="487" customWidth="1"/>
    <col min="6401" max="6401" width="44.140625" style="487" customWidth="1"/>
    <col min="6402" max="6402" width="24.7109375" style="487" customWidth="1"/>
    <col min="6403" max="6403" width="16.85546875" style="487" customWidth="1"/>
    <col min="6404" max="6406" width="15.7109375" style="487" customWidth="1"/>
    <col min="6407" max="6408" width="10.28515625" style="487" bestFit="1" customWidth="1"/>
    <col min="6409" max="6655" width="8.85546875" style="487"/>
    <col min="6656" max="6656" width="12.140625" style="487" customWidth="1"/>
    <col min="6657" max="6657" width="44.140625" style="487" customWidth="1"/>
    <col min="6658" max="6658" width="24.7109375" style="487" customWidth="1"/>
    <col min="6659" max="6659" width="16.85546875" style="487" customWidth="1"/>
    <col min="6660" max="6662" width="15.7109375" style="487" customWidth="1"/>
    <col min="6663" max="6664" width="10.28515625" style="487" bestFit="1" customWidth="1"/>
    <col min="6665" max="6911" width="8.85546875" style="487"/>
    <col min="6912" max="6912" width="12.140625" style="487" customWidth="1"/>
    <col min="6913" max="6913" width="44.140625" style="487" customWidth="1"/>
    <col min="6914" max="6914" width="24.7109375" style="487" customWidth="1"/>
    <col min="6915" max="6915" width="16.85546875" style="487" customWidth="1"/>
    <col min="6916" max="6918" width="15.7109375" style="487" customWidth="1"/>
    <col min="6919" max="6920" width="10.28515625" style="487" bestFit="1" customWidth="1"/>
    <col min="6921" max="7167" width="8.85546875" style="487"/>
    <col min="7168" max="7168" width="12.140625" style="487" customWidth="1"/>
    <col min="7169" max="7169" width="44.140625" style="487" customWidth="1"/>
    <col min="7170" max="7170" width="24.7109375" style="487" customWidth="1"/>
    <col min="7171" max="7171" width="16.85546875" style="487" customWidth="1"/>
    <col min="7172" max="7174" width="15.7109375" style="487" customWidth="1"/>
    <col min="7175" max="7176" width="10.28515625" style="487" bestFit="1" customWidth="1"/>
    <col min="7177" max="7423" width="8.85546875" style="487"/>
    <col min="7424" max="7424" width="12.140625" style="487" customWidth="1"/>
    <col min="7425" max="7425" width="44.140625" style="487" customWidth="1"/>
    <col min="7426" max="7426" width="24.7109375" style="487" customWidth="1"/>
    <col min="7427" max="7427" width="16.85546875" style="487" customWidth="1"/>
    <col min="7428" max="7430" width="15.7109375" style="487" customWidth="1"/>
    <col min="7431" max="7432" width="10.28515625" style="487" bestFit="1" customWidth="1"/>
    <col min="7433" max="7679" width="8.85546875" style="487"/>
    <col min="7680" max="7680" width="12.140625" style="487" customWidth="1"/>
    <col min="7681" max="7681" width="44.140625" style="487" customWidth="1"/>
    <col min="7682" max="7682" width="24.7109375" style="487" customWidth="1"/>
    <col min="7683" max="7683" width="16.85546875" style="487" customWidth="1"/>
    <col min="7684" max="7686" width="15.7109375" style="487" customWidth="1"/>
    <col min="7687" max="7688" width="10.28515625" style="487" bestFit="1" customWidth="1"/>
    <col min="7689" max="7935" width="8.85546875" style="487"/>
    <col min="7936" max="7936" width="12.140625" style="487" customWidth="1"/>
    <col min="7937" max="7937" width="44.140625" style="487" customWidth="1"/>
    <col min="7938" max="7938" width="24.7109375" style="487" customWidth="1"/>
    <col min="7939" max="7939" width="16.85546875" style="487" customWidth="1"/>
    <col min="7940" max="7942" width="15.7109375" style="487" customWidth="1"/>
    <col min="7943" max="7944" width="10.28515625" style="487" bestFit="1" customWidth="1"/>
    <col min="7945" max="8191" width="8.85546875" style="487"/>
    <col min="8192" max="8192" width="12.140625" style="487" customWidth="1"/>
    <col min="8193" max="8193" width="44.140625" style="487" customWidth="1"/>
    <col min="8194" max="8194" width="24.7109375" style="487" customWidth="1"/>
    <col min="8195" max="8195" width="16.85546875" style="487" customWidth="1"/>
    <col min="8196" max="8198" width="15.7109375" style="487" customWidth="1"/>
    <col min="8199" max="8200" width="10.28515625" style="487" bestFit="1" customWidth="1"/>
    <col min="8201" max="8447" width="8.85546875" style="487"/>
    <col min="8448" max="8448" width="12.140625" style="487" customWidth="1"/>
    <col min="8449" max="8449" width="44.140625" style="487" customWidth="1"/>
    <col min="8450" max="8450" width="24.7109375" style="487" customWidth="1"/>
    <col min="8451" max="8451" width="16.85546875" style="487" customWidth="1"/>
    <col min="8452" max="8454" width="15.7109375" style="487" customWidth="1"/>
    <col min="8455" max="8456" width="10.28515625" style="487" bestFit="1" customWidth="1"/>
    <col min="8457" max="8703" width="8.85546875" style="487"/>
    <col min="8704" max="8704" width="12.140625" style="487" customWidth="1"/>
    <col min="8705" max="8705" width="44.140625" style="487" customWidth="1"/>
    <col min="8706" max="8706" width="24.7109375" style="487" customWidth="1"/>
    <col min="8707" max="8707" width="16.85546875" style="487" customWidth="1"/>
    <col min="8708" max="8710" width="15.7109375" style="487" customWidth="1"/>
    <col min="8711" max="8712" width="10.28515625" style="487" bestFit="1" customWidth="1"/>
    <col min="8713" max="8959" width="8.85546875" style="487"/>
    <col min="8960" max="8960" width="12.140625" style="487" customWidth="1"/>
    <col min="8961" max="8961" width="44.140625" style="487" customWidth="1"/>
    <col min="8962" max="8962" width="24.7109375" style="487" customWidth="1"/>
    <col min="8963" max="8963" width="16.85546875" style="487" customWidth="1"/>
    <col min="8964" max="8966" width="15.7109375" style="487" customWidth="1"/>
    <col min="8967" max="8968" width="10.28515625" style="487" bestFit="1" customWidth="1"/>
    <col min="8969" max="9215" width="8.85546875" style="487"/>
    <col min="9216" max="9216" width="12.140625" style="487" customWidth="1"/>
    <col min="9217" max="9217" width="44.140625" style="487" customWidth="1"/>
    <col min="9218" max="9218" width="24.7109375" style="487" customWidth="1"/>
    <col min="9219" max="9219" width="16.85546875" style="487" customWidth="1"/>
    <col min="9220" max="9222" width="15.7109375" style="487" customWidth="1"/>
    <col min="9223" max="9224" width="10.28515625" style="487" bestFit="1" customWidth="1"/>
    <col min="9225" max="9471" width="8.85546875" style="487"/>
    <col min="9472" max="9472" width="12.140625" style="487" customWidth="1"/>
    <col min="9473" max="9473" width="44.140625" style="487" customWidth="1"/>
    <col min="9474" max="9474" width="24.7109375" style="487" customWidth="1"/>
    <col min="9475" max="9475" width="16.85546875" style="487" customWidth="1"/>
    <col min="9476" max="9478" width="15.7109375" style="487" customWidth="1"/>
    <col min="9479" max="9480" width="10.28515625" style="487" bestFit="1" customWidth="1"/>
    <col min="9481" max="9727" width="8.85546875" style="487"/>
    <col min="9728" max="9728" width="12.140625" style="487" customWidth="1"/>
    <col min="9729" max="9729" width="44.140625" style="487" customWidth="1"/>
    <col min="9730" max="9730" width="24.7109375" style="487" customWidth="1"/>
    <col min="9731" max="9731" width="16.85546875" style="487" customWidth="1"/>
    <col min="9732" max="9734" width="15.7109375" style="487" customWidth="1"/>
    <col min="9735" max="9736" width="10.28515625" style="487" bestFit="1" customWidth="1"/>
    <col min="9737" max="9983" width="8.85546875" style="487"/>
    <col min="9984" max="9984" width="12.140625" style="487" customWidth="1"/>
    <col min="9985" max="9985" width="44.140625" style="487" customWidth="1"/>
    <col min="9986" max="9986" width="24.7109375" style="487" customWidth="1"/>
    <col min="9987" max="9987" width="16.85546875" style="487" customWidth="1"/>
    <col min="9988" max="9990" width="15.7109375" style="487" customWidth="1"/>
    <col min="9991" max="9992" width="10.28515625" style="487" bestFit="1" customWidth="1"/>
    <col min="9993" max="10239" width="8.85546875" style="487"/>
    <col min="10240" max="10240" width="12.140625" style="487" customWidth="1"/>
    <col min="10241" max="10241" width="44.140625" style="487" customWidth="1"/>
    <col min="10242" max="10242" width="24.7109375" style="487" customWidth="1"/>
    <col min="10243" max="10243" width="16.85546875" style="487" customWidth="1"/>
    <col min="10244" max="10246" width="15.7109375" style="487" customWidth="1"/>
    <col min="10247" max="10248" width="10.28515625" style="487" bestFit="1" customWidth="1"/>
    <col min="10249" max="10495" width="8.85546875" style="487"/>
    <col min="10496" max="10496" width="12.140625" style="487" customWidth="1"/>
    <col min="10497" max="10497" width="44.140625" style="487" customWidth="1"/>
    <col min="10498" max="10498" width="24.7109375" style="487" customWidth="1"/>
    <col min="10499" max="10499" width="16.85546875" style="487" customWidth="1"/>
    <col min="10500" max="10502" width="15.7109375" style="487" customWidth="1"/>
    <col min="10503" max="10504" width="10.28515625" style="487" bestFit="1" customWidth="1"/>
    <col min="10505" max="10751" width="8.85546875" style="487"/>
    <col min="10752" max="10752" width="12.140625" style="487" customWidth="1"/>
    <col min="10753" max="10753" width="44.140625" style="487" customWidth="1"/>
    <col min="10754" max="10754" width="24.7109375" style="487" customWidth="1"/>
    <col min="10755" max="10755" width="16.85546875" style="487" customWidth="1"/>
    <col min="10756" max="10758" width="15.7109375" style="487" customWidth="1"/>
    <col min="10759" max="10760" width="10.28515625" style="487" bestFit="1" customWidth="1"/>
    <col min="10761" max="11007" width="8.85546875" style="487"/>
    <col min="11008" max="11008" width="12.140625" style="487" customWidth="1"/>
    <col min="11009" max="11009" width="44.140625" style="487" customWidth="1"/>
    <col min="11010" max="11010" width="24.7109375" style="487" customWidth="1"/>
    <col min="11011" max="11011" width="16.85546875" style="487" customWidth="1"/>
    <col min="11012" max="11014" width="15.7109375" style="487" customWidth="1"/>
    <col min="11015" max="11016" width="10.28515625" style="487" bestFit="1" customWidth="1"/>
    <col min="11017" max="11263" width="8.85546875" style="487"/>
    <col min="11264" max="11264" width="12.140625" style="487" customWidth="1"/>
    <col min="11265" max="11265" width="44.140625" style="487" customWidth="1"/>
    <col min="11266" max="11266" width="24.7109375" style="487" customWidth="1"/>
    <col min="11267" max="11267" width="16.85546875" style="487" customWidth="1"/>
    <col min="11268" max="11270" width="15.7109375" style="487" customWidth="1"/>
    <col min="11271" max="11272" width="10.28515625" style="487" bestFit="1" customWidth="1"/>
    <col min="11273" max="11519" width="8.85546875" style="487"/>
    <col min="11520" max="11520" width="12.140625" style="487" customWidth="1"/>
    <col min="11521" max="11521" width="44.140625" style="487" customWidth="1"/>
    <col min="11522" max="11522" width="24.7109375" style="487" customWidth="1"/>
    <col min="11523" max="11523" width="16.85546875" style="487" customWidth="1"/>
    <col min="11524" max="11526" width="15.7109375" style="487" customWidth="1"/>
    <col min="11527" max="11528" width="10.28515625" style="487" bestFit="1" customWidth="1"/>
    <col min="11529" max="11775" width="8.85546875" style="487"/>
    <col min="11776" max="11776" width="12.140625" style="487" customWidth="1"/>
    <col min="11777" max="11777" width="44.140625" style="487" customWidth="1"/>
    <col min="11778" max="11778" width="24.7109375" style="487" customWidth="1"/>
    <col min="11779" max="11779" width="16.85546875" style="487" customWidth="1"/>
    <col min="11780" max="11782" width="15.7109375" style="487" customWidth="1"/>
    <col min="11783" max="11784" width="10.28515625" style="487" bestFit="1" customWidth="1"/>
    <col min="11785" max="12031" width="8.85546875" style="487"/>
    <col min="12032" max="12032" width="12.140625" style="487" customWidth="1"/>
    <col min="12033" max="12033" width="44.140625" style="487" customWidth="1"/>
    <col min="12034" max="12034" width="24.7109375" style="487" customWidth="1"/>
    <col min="12035" max="12035" width="16.85546875" style="487" customWidth="1"/>
    <col min="12036" max="12038" width="15.7109375" style="487" customWidth="1"/>
    <col min="12039" max="12040" width="10.28515625" style="487" bestFit="1" customWidth="1"/>
    <col min="12041" max="12287" width="8.85546875" style="487"/>
    <col min="12288" max="12288" width="12.140625" style="487" customWidth="1"/>
    <col min="12289" max="12289" width="44.140625" style="487" customWidth="1"/>
    <col min="12290" max="12290" width="24.7109375" style="487" customWidth="1"/>
    <col min="12291" max="12291" width="16.85546875" style="487" customWidth="1"/>
    <col min="12292" max="12294" width="15.7109375" style="487" customWidth="1"/>
    <col min="12295" max="12296" width="10.28515625" style="487" bestFit="1" customWidth="1"/>
    <col min="12297" max="12543" width="8.85546875" style="487"/>
    <col min="12544" max="12544" width="12.140625" style="487" customWidth="1"/>
    <col min="12545" max="12545" width="44.140625" style="487" customWidth="1"/>
    <col min="12546" max="12546" width="24.7109375" style="487" customWidth="1"/>
    <col min="12547" max="12547" width="16.85546875" style="487" customWidth="1"/>
    <col min="12548" max="12550" width="15.7109375" style="487" customWidth="1"/>
    <col min="12551" max="12552" width="10.28515625" style="487" bestFit="1" customWidth="1"/>
    <col min="12553" max="12799" width="8.85546875" style="487"/>
    <col min="12800" max="12800" width="12.140625" style="487" customWidth="1"/>
    <col min="12801" max="12801" width="44.140625" style="487" customWidth="1"/>
    <col min="12802" max="12802" width="24.7109375" style="487" customWidth="1"/>
    <col min="12803" max="12803" width="16.85546875" style="487" customWidth="1"/>
    <col min="12804" max="12806" width="15.7109375" style="487" customWidth="1"/>
    <col min="12807" max="12808" width="10.28515625" style="487" bestFit="1" customWidth="1"/>
    <col min="12809" max="13055" width="8.85546875" style="487"/>
    <col min="13056" max="13056" width="12.140625" style="487" customWidth="1"/>
    <col min="13057" max="13057" width="44.140625" style="487" customWidth="1"/>
    <col min="13058" max="13058" width="24.7109375" style="487" customWidth="1"/>
    <col min="13059" max="13059" width="16.85546875" style="487" customWidth="1"/>
    <col min="13060" max="13062" width="15.7109375" style="487" customWidth="1"/>
    <col min="13063" max="13064" width="10.28515625" style="487" bestFit="1" customWidth="1"/>
    <col min="13065" max="13311" width="8.85546875" style="487"/>
    <col min="13312" max="13312" width="12.140625" style="487" customWidth="1"/>
    <col min="13313" max="13313" width="44.140625" style="487" customWidth="1"/>
    <col min="13314" max="13314" width="24.7109375" style="487" customWidth="1"/>
    <col min="13315" max="13315" width="16.85546875" style="487" customWidth="1"/>
    <col min="13316" max="13318" width="15.7109375" style="487" customWidth="1"/>
    <col min="13319" max="13320" width="10.28515625" style="487" bestFit="1" customWidth="1"/>
    <col min="13321" max="13567" width="8.85546875" style="487"/>
    <col min="13568" max="13568" width="12.140625" style="487" customWidth="1"/>
    <col min="13569" max="13569" width="44.140625" style="487" customWidth="1"/>
    <col min="13570" max="13570" width="24.7109375" style="487" customWidth="1"/>
    <col min="13571" max="13571" width="16.85546875" style="487" customWidth="1"/>
    <col min="13572" max="13574" width="15.7109375" style="487" customWidth="1"/>
    <col min="13575" max="13576" width="10.28515625" style="487" bestFit="1" customWidth="1"/>
    <col min="13577" max="13823" width="8.85546875" style="487"/>
    <col min="13824" max="13824" width="12.140625" style="487" customWidth="1"/>
    <col min="13825" max="13825" width="44.140625" style="487" customWidth="1"/>
    <col min="13826" max="13826" width="24.7109375" style="487" customWidth="1"/>
    <col min="13827" max="13827" width="16.85546875" style="487" customWidth="1"/>
    <col min="13828" max="13830" width="15.7109375" style="487" customWidth="1"/>
    <col min="13831" max="13832" width="10.28515625" style="487" bestFit="1" customWidth="1"/>
    <col min="13833" max="14079" width="8.85546875" style="487"/>
    <col min="14080" max="14080" width="12.140625" style="487" customWidth="1"/>
    <col min="14081" max="14081" width="44.140625" style="487" customWidth="1"/>
    <col min="14082" max="14082" width="24.7109375" style="487" customWidth="1"/>
    <col min="14083" max="14083" width="16.85546875" style="487" customWidth="1"/>
    <col min="14084" max="14086" width="15.7109375" style="487" customWidth="1"/>
    <col min="14087" max="14088" width="10.28515625" style="487" bestFit="1" customWidth="1"/>
    <col min="14089" max="14335" width="8.85546875" style="487"/>
    <col min="14336" max="14336" width="12.140625" style="487" customWidth="1"/>
    <col min="14337" max="14337" width="44.140625" style="487" customWidth="1"/>
    <col min="14338" max="14338" width="24.7109375" style="487" customWidth="1"/>
    <col min="14339" max="14339" width="16.85546875" style="487" customWidth="1"/>
    <col min="14340" max="14342" width="15.7109375" style="487" customWidth="1"/>
    <col min="14343" max="14344" width="10.28515625" style="487" bestFit="1" customWidth="1"/>
    <col min="14345" max="14591" width="8.85546875" style="487"/>
    <col min="14592" max="14592" width="12.140625" style="487" customWidth="1"/>
    <col min="14593" max="14593" width="44.140625" style="487" customWidth="1"/>
    <col min="14594" max="14594" width="24.7109375" style="487" customWidth="1"/>
    <col min="14595" max="14595" width="16.85546875" style="487" customWidth="1"/>
    <col min="14596" max="14598" width="15.7109375" style="487" customWidth="1"/>
    <col min="14599" max="14600" width="10.28515625" style="487" bestFit="1" customWidth="1"/>
    <col min="14601" max="14847" width="8.85546875" style="487"/>
    <col min="14848" max="14848" width="12.140625" style="487" customWidth="1"/>
    <col min="14849" max="14849" width="44.140625" style="487" customWidth="1"/>
    <col min="14850" max="14850" width="24.7109375" style="487" customWidth="1"/>
    <col min="14851" max="14851" width="16.85546875" style="487" customWidth="1"/>
    <col min="14852" max="14854" width="15.7109375" style="487" customWidth="1"/>
    <col min="14855" max="14856" width="10.28515625" style="487" bestFit="1" customWidth="1"/>
    <col min="14857" max="15103" width="8.85546875" style="487"/>
    <col min="15104" max="15104" width="12.140625" style="487" customWidth="1"/>
    <col min="15105" max="15105" width="44.140625" style="487" customWidth="1"/>
    <col min="15106" max="15106" width="24.7109375" style="487" customWidth="1"/>
    <col min="15107" max="15107" width="16.85546875" style="487" customWidth="1"/>
    <col min="15108" max="15110" width="15.7109375" style="487" customWidth="1"/>
    <col min="15111" max="15112" width="10.28515625" style="487" bestFit="1" customWidth="1"/>
    <col min="15113" max="15359" width="8.85546875" style="487"/>
    <col min="15360" max="15360" width="12.140625" style="487" customWidth="1"/>
    <col min="15361" max="15361" width="44.140625" style="487" customWidth="1"/>
    <col min="15362" max="15362" width="24.7109375" style="487" customWidth="1"/>
    <col min="15363" max="15363" width="16.85546875" style="487" customWidth="1"/>
    <col min="15364" max="15366" width="15.7109375" style="487" customWidth="1"/>
    <col min="15367" max="15368" width="10.28515625" style="487" bestFit="1" customWidth="1"/>
    <col min="15369" max="15615" width="8.85546875" style="487"/>
    <col min="15616" max="15616" width="12.140625" style="487" customWidth="1"/>
    <col min="15617" max="15617" width="44.140625" style="487" customWidth="1"/>
    <col min="15618" max="15618" width="24.7109375" style="487" customWidth="1"/>
    <col min="15619" max="15619" width="16.85546875" style="487" customWidth="1"/>
    <col min="15620" max="15622" width="15.7109375" style="487" customWidth="1"/>
    <col min="15623" max="15624" width="10.28515625" style="487" bestFit="1" customWidth="1"/>
    <col min="15625" max="15871" width="8.85546875" style="487"/>
    <col min="15872" max="15872" width="12.140625" style="487" customWidth="1"/>
    <col min="15873" max="15873" width="44.140625" style="487" customWidth="1"/>
    <col min="15874" max="15874" width="24.7109375" style="487" customWidth="1"/>
    <col min="15875" max="15875" width="16.85546875" style="487" customWidth="1"/>
    <col min="15876" max="15878" width="15.7109375" style="487" customWidth="1"/>
    <col min="15879" max="15880" width="10.28515625" style="487" bestFit="1" customWidth="1"/>
    <col min="15881" max="16127" width="8.85546875" style="487"/>
    <col min="16128" max="16128" width="12.140625" style="487" customWidth="1"/>
    <col min="16129" max="16129" width="44.140625" style="487" customWidth="1"/>
    <col min="16130" max="16130" width="24.7109375" style="487" customWidth="1"/>
    <col min="16131" max="16131" width="16.85546875" style="487" customWidth="1"/>
    <col min="16132" max="16134" width="15.7109375" style="487" customWidth="1"/>
    <col min="16135" max="16136" width="10.28515625" style="487" bestFit="1" customWidth="1"/>
    <col min="16137" max="16384" width="8.85546875" style="487"/>
  </cols>
  <sheetData>
    <row r="1" spans="1:7" ht="16.5" thickBot="1">
      <c r="A1" s="1145" t="s">
        <v>487</v>
      </c>
      <c r="B1" s="1146"/>
      <c r="C1" s="1146"/>
      <c r="D1" s="1146"/>
      <c r="E1" s="1146"/>
      <c r="F1" s="1147"/>
    </row>
    <row r="2" spans="1:7" ht="18" customHeight="1" thickBot="1">
      <c r="A2" s="1144" t="s">
        <v>486</v>
      </c>
      <c r="B2" s="488"/>
      <c r="C2" s="489"/>
      <c r="D2" s="489"/>
      <c r="E2" s="489"/>
      <c r="F2" s="754"/>
    </row>
    <row r="3" spans="1:7" ht="15" customHeight="1">
      <c r="A3" s="839" t="s">
        <v>480</v>
      </c>
      <c r="B3" s="840"/>
      <c r="C3" s="840"/>
      <c r="D3" s="840"/>
      <c r="E3" s="840"/>
      <c r="F3" s="841"/>
    </row>
    <row r="4" spans="1:7" ht="25.5" customHeight="1">
      <c r="A4" s="846" t="s">
        <v>362</v>
      </c>
      <c r="B4" s="847"/>
      <c r="C4" s="490" t="s">
        <v>363</v>
      </c>
      <c r="D4" s="491">
        <f>'MPO I'!I45</f>
        <v>89281.307860209345</v>
      </c>
      <c r="E4" s="852"/>
      <c r="F4" s="853"/>
    </row>
    <row r="5" spans="1:7" ht="36" customHeight="1">
      <c r="A5" s="848" t="str">
        <f>'[3]Modelo Planilha Orcamentaria'!A5:E5</f>
        <v>LOCAL: Rua Capitão João Mariano Dias nº 86  - Centro - Bocaina de Minas /MG</v>
      </c>
      <c r="B5" s="849"/>
      <c r="C5" s="850" t="s">
        <v>477</v>
      </c>
      <c r="D5" s="851"/>
      <c r="E5" s="854" t="s">
        <v>476</v>
      </c>
      <c r="F5" s="855"/>
    </row>
    <row r="6" spans="1:7">
      <c r="A6" s="492" t="s">
        <v>147</v>
      </c>
      <c r="B6" s="493" t="s">
        <v>364</v>
      </c>
      <c r="C6" s="494" t="s">
        <v>365</v>
      </c>
      <c r="D6" s="494" t="s">
        <v>366</v>
      </c>
      <c r="E6" s="493" t="s">
        <v>367</v>
      </c>
      <c r="F6" s="755" t="s">
        <v>475</v>
      </c>
    </row>
    <row r="7" spans="1:7">
      <c r="A7" s="842">
        <v>1</v>
      </c>
      <c r="B7" s="844" t="str">
        <f>'MPO I'!C10</f>
        <v>INSTALAÇÕES INICIAIS DA OBRA</v>
      </c>
      <c r="C7" s="495" t="s">
        <v>368</v>
      </c>
      <c r="D7" s="496">
        <f>D8/$D$22</f>
        <v>5.4457645351843088E-3</v>
      </c>
      <c r="E7" s="497">
        <v>1</v>
      </c>
      <c r="F7" s="756"/>
    </row>
    <row r="8" spans="1:7">
      <c r="A8" s="843"/>
      <c r="B8" s="845"/>
      <c r="C8" s="498" t="s">
        <v>369</v>
      </c>
      <c r="D8" s="499">
        <f>'MPO I'!I10</f>
        <v>486.20498000000003</v>
      </c>
      <c r="E8" s="753">
        <f>E7*D8</f>
        <v>486.20498000000003</v>
      </c>
      <c r="F8" s="757"/>
      <c r="G8" s="500"/>
    </row>
    <row r="9" spans="1:7">
      <c r="A9" s="856">
        <v>2</v>
      </c>
      <c r="B9" s="857" t="str">
        <f>'MPO I'!C12</f>
        <v>DEMOLIÇÃO E REMOÇÃO</v>
      </c>
      <c r="C9" s="495" t="s">
        <v>368</v>
      </c>
      <c r="D9" s="496">
        <f>D10/$D$22</f>
        <v>4.9403461595019904E-2</v>
      </c>
      <c r="E9" s="497">
        <v>0.85</v>
      </c>
      <c r="F9" s="756">
        <v>0.15</v>
      </c>
    </row>
    <row r="10" spans="1:7">
      <c r="A10" s="843"/>
      <c r="B10" s="845"/>
      <c r="C10" s="498" t="s">
        <v>369</v>
      </c>
      <c r="D10" s="499">
        <f>'MPO I'!I12</f>
        <v>4410.8056640250006</v>
      </c>
      <c r="E10" s="753">
        <f>E9*D10</f>
        <v>3749.1848144212504</v>
      </c>
      <c r="F10" s="757">
        <f>F9*$D$10</f>
        <v>661.62084960375012</v>
      </c>
    </row>
    <row r="11" spans="1:7">
      <c r="A11" s="856">
        <v>3</v>
      </c>
      <c r="B11" s="857" t="str">
        <f>'MPO I'!C17</f>
        <v>ALVENARIA</v>
      </c>
      <c r="C11" s="495" t="s">
        <v>368</v>
      </c>
      <c r="D11" s="496">
        <f>D12/$D$22</f>
        <v>1.2638098493882826E-2</v>
      </c>
      <c r="E11" s="497">
        <v>0.5</v>
      </c>
      <c r="F11" s="756">
        <v>0.5</v>
      </c>
    </row>
    <row r="12" spans="1:7">
      <c r="A12" s="843"/>
      <c r="B12" s="845"/>
      <c r="C12" s="498" t="s">
        <v>369</v>
      </c>
      <c r="D12" s="499">
        <f>'MPO I'!I17</f>
        <v>1128.3459624000004</v>
      </c>
      <c r="E12" s="753">
        <f>E11*D12</f>
        <v>564.17298120000021</v>
      </c>
      <c r="F12" s="757">
        <f>F11*$D$12</f>
        <v>564.17298120000021</v>
      </c>
    </row>
    <row r="13" spans="1:7">
      <c r="A13" s="856">
        <v>4</v>
      </c>
      <c r="B13" s="857" t="str">
        <f>'MPO I'!C19</f>
        <v xml:space="preserve">REVESTIMENTOS DE PAREDE INT./EXT. E TETO </v>
      </c>
      <c r="C13" s="495" t="s">
        <v>368</v>
      </c>
      <c r="D13" s="496">
        <f>D14/$D$22</f>
        <v>1.7703903881816349E-2</v>
      </c>
      <c r="E13" s="497"/>
      <c r="F13" s="756">
        <v>1</v>
      </c>
    </row>
    <row r="14" spans="1:7">
      <c r="A14" s="843"/>
      <c r="B14" s="845"/>
      <c r="C14" s="498" t="s">
        <v>369</v>
      </c>
      <c r="D14" s="499">
        <f>'MPO I'!I19</f>
        <v>1580.6276928000004</v>
      </c>
      <c r="E14" s="753"/>
      <c r="F14" s="757">
        <f>F13*$D$14</f>
        <v>1580.6276928000004</v>
      </c>
    </row>
    <row r="15" spans="1:7">
      <c r="A15" s="856">
        <v>5</v>
      </c>
      <c r="B15" s="857" t="str">
        <f>'MPO I'!C22</f>
        <v>COBERTURA</v>
      </c>
      <c r="C15" s="495" t="s">
        <v>368</v>
      </c>
      <c r="D15" s="496">
        <f>D16/$D$22</f>
        <v>0.74083381839506657</v>
      </c>
      <c r="E15" s="497">
        <v>0.8</v>
      </c>
      <c r="F15" s="756">
        <v>0.2</v>
      </c>
    </row>
    <row r="16" spans="1:7">
      <c r="A16" s="843"/>
      <c r="B16" s="845"/>
      <c r="C16" s="498" t="s">
        <v>369</v>
      </c>
      <c r="D16" s="499">
        <f>'MPO I'!I22</f>
        <v>66142.612213384346</v>
      </c>
      <c r="E16" s="753">
        <f>E15*D16</f>
        <v>52914.089770707476</v>
      </c>
      <c r="F16" s="757">
        <f>F15*$D$16</f>
        <v>13228.522442676869</v>
      </c>
    </row>
    <row r="17" spans="1:7">
      <c r="A17" s="856">
        <v>6</v>
      </c>
      <c r="B17" s="857" t="str">
        <f>'MPO I'!C33</f>
        <v>INSTALAÇÃO ELÉTRICA</v>
      </c>
      <c r="C17" s="495" t="s">
        <v>368</v>
      </c>
      <c r="D17" s="496">
        <f>D18/$D$22</f>
        <v>2.1630300969870585E-2</v>
      </c>
      <c r="E17" s="497"/>
      <c r="F17" s="756">
        <v>1</v>
      </c>
    </row>
    <row r="18" spans="1:7">
      <c r="A18" s="843"/>
      <c r="B18" s="845"/>
      <c r="C18" s="498" t="s">
        <v>369</v>
      </c>
      <c r="D18" s="499">
        <f>'MPO I'!I33</f>
        <v>1931.18156</v>
      </c>
      <c r="E18" s="753"/>
      <c r="F18" s="757">
        <f>F17*D18</f>
        <v>1931.18156</v>
      </c>
    </row>
    <row r="19" spans="1:7">
      <c r="A19" s="856">
        <v>7</v>
      </c>
      <c r="B19" s="857" t="str">
        <f>'MPO I'!C36</f>
        <v>PINTURA</v>
      </c>
      <c r="C19" s="495" t="s">
        <v>368</v>
      </c>
      <c r="D19" s="496">
        <f>D20/$D$22</f>
        <v>0.15234465212915965</v>
      </c>
      <c r="E19" s="497"/>
      <c r="F19" s="756">
        <v>1</v>
      </c>
    </row>
    <row r="20" spans="1:7">
      <c r="A20" s="843"/>
      <c r="B20" s="845"/>
      <c r="C20" s="498" t="s">
        <v>369</v>
      </c>
      <c r="D20" s="499">
        <f>'MPO I'!I36</f>
        <v>13601.529787599999</v>
      </c>
      <c r="E20" s="753"/>
      <c r="F20" s="757">
        <f>F19*D20</f>
        <v>13601.529787599999</v>
      </c>
    </row>
    <row r="21" spans="1:7">
      <c r="A21" s="860" t="s">
        <v>370</v>
      </c>
      <c r="B21" s="861"/>
      <c r="C21" s="501" t="s">
        <v>368</v>
      </c>
      <c r="D21" s="502">
        <f>D19+D15+D13+D11+D9+D7+D17</f>
        <v>1.0000000000000002</v>
      </c>
      <c r="E21" s="502">
        <f>E22/D22</f>
        <v>0.64642481085394587</v>
      </c>
      <c r="F21" s="758">
        <f>F22/D22</f>
        <v>0.35357518914605429</v>
      </c>
      <c r="G21" s="500"/>
    </row>
    <row r="22" spans="1:7">
      <c r="A22" s="862"/>
      <c r="B22" s="863"/>
      <c r="C22" s="503" t="s">
        <v>369</v>
      </c>
      <c r="D22" s="504">
        <f>D20+D16+D14+D12+D10+D8+D18</f>
        <v>89281.30786020933</v>
      </c>
      <c r="E22" s="504">
        <f>E16+E12+E10+E8+E14+E20</f>
        <v>57713.652546328725</v>
      </c>
      <c r="F22" s="759">
        <f>F16+F12+F10+F8+F14+F20+F18</f>
        <v>31567.655313880619</v>
      </c>
      <c r="G22" s="505"/>
    </row>
    <row r="23" spans="1:7" ht="13.5" thickBot="1">
      <c r="A23" s="506"/>
      <c r="B23" s="507"/>
      <c r="C23" s="508"/>
      <c r="D23" s="508"/>
      <c r="E23" s="508"/>
      <c r="F23" s="760"/>
    </row>
    <row r="24" spans="1:7" ht="46.15" customHeight="1">
      <c r="A24" s="509"/>
      <c r="B24" s="510"/>
      <c r="C24" s="510"/>
      <c r="D24" s="510"/>
      <c r="E24" s="510"/>
      <c r="F24" s="510"/>
    </row>
    <row r="25" spans="1:7">
      <c r="A25" s="511"/>
      <c r="B25" s="512"/>
      <c r="C25" s="512"/>
      <c r="D25" s="512"/>
      <c r="E25" s="512"/>
      <c r="F25" s="512"/>
    </row>
    <row r="26" spans="1:7">
      <c r="A26" s="511"/>
      <c r="B26" s="513"/>
      <c r="C26" s="512"/>
      <c r="D26" s="864"/>
      <c r="E26" s="864"/>
      <c r="F26" s="864"/>
    </row>
    <row r="27" spans="1:7" ht="39.6" customHeight="1">
      <c r="A27" s="514"/>
      <c r="B27" s="858" t="s">
        <v>327</v>
      </c>
      <c r="C27" s="489"/>
      <c r="D27" s="858" t="s">
        <v>485</v>
      </c>
      <c r="E27" s="858"/>
      <c r="F27" s="858"/>
    </row>
    <row r="28" spans="1:7" ht="13.5" thickBot="1">
      <c r="A28" s="515"/>
      <c r="B28" s="859"/>
      <c r="C28" s="516"/>
      <c r="D28" s="516"/>
      <c r="E28" s="516"/>
      <c r="F28" s="517"/>
    </row>
    <row r="29" spans="1:7" ht="1.1499999999999999" customHeight="1">
      <c r="A29" s="518"/>
      <c r="B29" s="519"/>
      <c r="C29" s="489"/>
      <c r="D29" s="489"/>
      <c r="E29" s="489"/>
      <c r="F29" s="488"/>
    </row>
    <row r="30" spans="1:7">
      <c r="A30" s="520"/>
      <c r="B30" s="520"/>
      <c r="C30" s="521"/>
      <c r="D30" s="521"/>
      <c r="E30" s="521"/>
      <c r="F30" s="520"/>
    </row>
    <row r="31" spans="1:7">
      <c r="A31" s="520"/>
      <c r="B31" s="520"/>
      <c r="C31" s="521"/>
      <c r="D31" s="521"/>
      <c r="E31" s="521"/>
      <c r="F31" s="520"/>
    </row>
    <row r="32" spans="1:7">
      <c r="A32" s="520"/>
      <c r="B32" s="520"/>
      <c r="C32" s="521"/>
      <c r="D32" s="521"/>
      <c r="E32" s="521"/>
      <c r="F32" s="520"/>
    </row>
    <row r="33" spans="1:6">
      <c r="A33" s="520"/>
      <c r="B33" s="520"/>
      <c r="C33" s="521"/>
      <c r="D33" s="521"/>
      <c r="E33" s="521"/>
      <c r="F33" s="520"/>
    </row>
    <row r="34" spans="1:6">
      <c r="A34" s="520"/>
      <c r="B34" s="520"/>
      <c r="C34" s="521"/>
      <c r="D34" s="521"/>
      <c r="E34" s="521"/>
      <c r="F34" s="520"/>
    </row>
    <row r="35" spans="1:6">
      <c r="A35" s="520"/>
      <c r="B35" s="520"/>
      <c r="C35" s="521"/>
      <c r="D35" s="521"/>
      <c r="E35" s="521"/>
      <c r="F35" s="520"/>
    </row>
    <row r="36" spans="1:6">
      <c r="A36" s="520"/>
      <c r="B36" s="520"/>
      <c r="C36" s="521"/>
      <c r="D36" s="521"/>
      <c r="E36" s="521"/>
      <c r="F36" s="520"/>
    </row>
  </sheetData>
  <mergeCells count="25">
    <mergeCell ref="D27:F27"/>
    <mergeCell ref="A21:B22"/>
    <mergeCell ref="D26:F26"/>
    <mergeCell ref="A13:A14"/>
    <mergeCell ref="B13:B14"/>
    <mergeCell ref="A15:A16"/>
    <mergeCell ref="B15:B16"/>
    <mergeCell ref="A19:A20"/>
    <mergeCell ref="B19:B20"/>
    <mergeCell ref="A9:A10"/>
    <mergeCell ref="B9:B10"/>
    <mergeCell ref="A11:A12"/>
    <mergeCell ref="B11:B12"/>
    <mergeCell ref="B27:B28"/>
    <mergeCell ref="A17:A18"/>
    <mergeCell ref="B17:B18"/>
    <mergeCell ref="A1:F1"/>
    <mergeCell ref="A3:F3"/>
    <mergeCell ref="A7:A8"/>
    <mergeCell ref="B7:B8"/>
    <mergeCell ref="A4:B4"/>
    <mergeCell ref="A5:B5"/>
    <mergeCell ref="C5:D5"/>
    <mergeCell ref="E4:F4"/>
    <mergeCell ref="E5:F5"/>
  </mergeCells>
  <printOptions horizontalCentered="1"/>
  <pageMargins left="0" right="0" top="0.78740157480314965" bottom="0"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N760"/>
  <sheetViews>
    <sheetView view="pageBreakPreview" topLeftCell="A246" zoomScaleSheetLayoutView="100" workbookViewId="0">
      <selection activeCell="E265" sqref="E265"/>
    </sheetView>
  </sheetViews>
  <sheetFormatPr defaultRowHeight="15"/>
  <cols>
    <col min="1" max="1" width="15.85546875" customWidth="1"/>
    <col min="2" max="2" width="12.7109375" customWidth="1"/>
    <col min="3" max="3" width="15.7109375" customWidth="1"/>
    <col min="4" max="4" width="16.28515625" customWidth="1"/>
    <col min="5" max="5" width="15.85546875" customWidth="1"/>
    <col min="6" max="6" width="16.28515625" customWidth="1"/>
    <col min="7" max="7" width="14.140625" customWidth="1"/>
    <col min="8" max="9" width="15.7109375" customWidth="1"/>
    <col min="10" max="10" width="12.5703125" customWidth="1"/>
    <col min="11" max="11" width="10.7109375" customWidth="1"/>
    <col min="12" max="13" width="12.7109375" customWidth="1"/>
  </cols>
  <sheetData>
    <row r="1" spans="1:11">
      <c r="A1" s="625"/>
      <c r="B1" s="625"/>
      <c r="C1" s="892" t="s">
        <v>183</v>
      </c>
      <c r="D1" s="892"/>
      <c r="E1" s="892"/>
      <c r="F1" s="892"/>
      <c r="G1" s="625"/>
      <c r="H1" s="625"/>
      <c r="I1" s="625"/>
      <c r="J1" s="625"/>
      <c r="K1" s="625"/>
    </row>
    <row r="2" spans="1:11">
      <c r="A2" s="625"/>
      <c r="B2" s="625"/>
      <c r="C2" s="626"/>
      <c r="D2" s="625"/>
      <c r="E2" s="625"/>
      <c r="F2" s="625"/>
      <c r="G2" s="625"/>
      <c r="H2" s="625"/>
      <c r="I2" s="625"/>
      <c r="J2" s="625"/>
      <c r="K2" s="625"/>
    </row>
    <row r="3" spans="1:11">
      <c r="A3" s="627">
        <f>'[4]Planilha Orcamentaria'!B13</f>
        <v>1</v>
      </c>
      <c r="B3" s="628" t="str">
        <f>'[4]Planilha Orcamentaria'!D13</f>
        <v>INSTALAÇÕES INICIAIS DA OBRA / LOCAÇÃO</v>
      </c>
      <c r="C3" s="625"/>
      <c r="D3" s="625"/>
      <c r="E3" s="625"/>
      <c r="F3" s="625"/>
      <c r="G3" s="625"/>
      <c r="H3" s="625"/>
      <c r="I3" s="625"/>
      <c r="J3" s="625"/>
      <c r="K3" s="625"/>
    </row>
    <row r="4" spans="1:11">
      <c r="A4" s="627"/>
      <c r="B4" s="625"/>
      <c r="C4" s="628"/>
      <c r="D4" s="625"/>
      <c r="E4" s="625"/>
      <c r="F4" s="625"/>
      <c r="G4" s="625"/>
      <c r="H4" s="625"/>
      <c r="I4" s="625"/>
      <c r="J4" s="625"/>
      <c r="K4" s="625"/>
    </row>
    <row r="5" spans="1:11" ht="14.45" customHeight="1">
      <c r="A5" s="523" t="s">
        <v>155</v>
      </c>
      <c r="B5" s="901" t="s">
        <v>305</v>
      </c>
      <c r="C5" s="901"/>
      <c r="D5" s="901"/>
      <c r="E5" s="901"/>
      <c r="F5" s="901"/>
      <c r="G5" s="901"/>
      <c r="H5" s="901"/>
      <c r="I5" s="901"/>
      <c r="J5" s="901"/>
      <c r="K5" s="761"/>
    </row>
    <row r="6" spans="1:11" ht="33.6" customHeight="1">
      <c r="A6" s="523"/>
      <c r="B6" s="901"/>
      <c r="C6" s="901"/>
      <c r="D6" s="901"/>
      <c r="E6" s="901"/>
      <c r="F6" s="901"/>
      <c r="G6" s="901"/>
      <c r="H6" s="901"/>
      <c r="I6" s="901"/>
      <c r="J6" s="901"/>
      <c r="K6" s="761"/>
    </row>
    <row r="7" spans="1:11">
      <c r="A7" s="523"/>
      <c r="B7" s="625"/>
      <c r="C7" s="628"/>
      <c r="D7" s="625"/>
      <c r="E7" s="625"/>
      <c r="F7" s="625"/>
      <c r="G7" s="625"/>
      <c r="H7" s="625"/>
      <c r="I7" s="625"/>
      <c r="J7" s="625"/>
      <c r="K7" s="625"/>
    </row>
    <row r="8" spans="1:11">
      <c r="A8" s="523"/>
      <c r="B8" s="629" t="s">
        <v>360</v>
      </c>
      <c r="C8" s="723">
        <v>2</v>
      </c>
      <c r="D8" s="24" t="s">
        <v>306</v>
      </c>
      <c r="E8" s="625"/>
      <c r="F8" s="625"/>
      <c r="G8" s="625"/>
      <c r="H8" s="625"/>
      <c r="I8" s="625"/>
      <c r="J8" s="625"/>
      <c r="K8" s="625"/>
    </row>
    <row r="9" spans="1:11">
      <c r="A9" s="523"/>
      <c r="B9" s="625"/>
      <c r="C9" s="628"/>
      <c r="D9" s="625"/>
      <c r="E9" s="625"/>
      <c r="F9" s="625"/>
      <c r="G9" s="625"/>
      <c r="H9" s="625"/>
      <c r="I9" s="625"/>
      <c r="J9" s="625"/>
      <c r="K9" s="625"/>
    </row>
    <row r="10" spans="1:11">
      <c r="A10" s="627">
        <v>2</v>
      </c>
      <c r="B10" s="630" t="str">
        <f>'MPO I'!C12</f>
        <v>DEMOLIÇÃO E REMOÇÃO</v>
      </c>
      <c r="C10" s="630"/>
      <c r="D10" s="630"/>
      <c r="E10" s="630"/>
      <c r="F10" s="630"/>
      <c r="G10" s="630"/>
      <c r="H10" s="625"/>
      <c r="I10" s="625"/>
      <c r="J10" s="625"/>
      <c r="K10" s="625"/>
    </row>
    <row r="11" spans="1:11">
      <c r="A11" s="625"/>
      <c r="B11" s="625"/>
      <c r="C11" s="626"/>
      <c r="D11" s="625"/>
      <c r="E11" s="625"/>
      <c r="F11" s="625"/>
      <c r="G11" s="625"/>
      <c r="H11" s="631"/>
      <c r="I11" s="631"/>
      <c r="J11" s="625"/>
      <c r="K11" s="625"/>
    </row>
    <row r="12" spans="1:11" ht="14.45" customHeight="1">
      <c r="A12" s="523" t="s">
        <v>157</v>
      </c>
      <c r="B12" s="900" t="str">
        <f>PLANILHA!C14</f>
        <v>REMOÇÃO DE CALHA GALVANIZADA OU PVC, INCLUSIVE AFASTAMENTO</v>
      </c>
      <c r="C12" s="900"/>
      <c r="D12" s="900"/>
      <c r="E12" s="900"/>
      <c r="F12" s="900"/>
      <c r="G12" s="900"/>
      <c r="H12" s="900"/>
      <c r="I12" s="900"/>
      <c r="J12" s="900"/>
      <c r="K12" s="900"/>
    </row>
    <row r="13" spans="1:11">
      <c r="A13" s="625"/>
      <c r="B13" s="625"/>
      <c r="C13" s="632"/>
      <c r="D13" s="625"/>
      <c r="E13" s="625"/>
      <c r="F13" s="625"/>
      <c r="G13" s="625"/>
      <c r="H13" s="631"/>
      <c r="I13" s="631"/>
      <c r="J13" s="625"/>
      <c r="K13" s="625"/>
    </row>
    <row r="14" spans="1:11">
      <c r="A14" s="633"/>
      <c r="B14" s="724" t="s">
        <v>194</v>
      </c>
      <c r="C14" s="524"/>
      <c r="D14" s="635"/>
      <c r="E14" s="635"/>
      <c r="F14" s="524"/>
      <c r="G14" s="525"/>
      <c r="H14" s="625"/>
      <c r="I14" s="625"/>
      <c r="J14" s="625"/>
      <c r="K14" s="625"/>
    </row>
    <row r="15" spans="1:11">
      <c r="A15" s="524"/>
      <c r="B15" s="723">
        <v>16.3</v>
      </c>
      <c r="C15" s="722" t="s">
        <v>187</v>
      </c>
      <c r="D15" s="635"/>
      <c r="E15" s="524"/>
      <c r="F15" s="635"/>
      <c r="G15" s="525"/>
      <c r="H15" s="625"/>
      <c r="I15" s="625"/>
      <c r="J15" s="625"/>
      <c r="K15" s="625"/>
    </row>
    <row r="16" spans="1:11" ht="15" hidden="1" customHeight="1">
      <c r="A16" s="524"/>
      <c r="B16" s="635"/>
      <c r="C16" s="635"/>
      <c r="D16" s="635"/>
      <c r="E16" s="524"/>
      <c r="F16" s="635"/>
      <c r="G16" s="525"/>
      <c r="H16" s="625"/>
      <c r="I16" s="625"/>
      <c r="J16" s="625"/>
      <c r="K16" s="625"/>
    </row>
    <row r="17" spans="1:11">
      <c r="A17" s="633"/>
      <c r="B17" s="635"/>
      <c r="C17" s="635"/>
      <c r="D17" s="635"/>
      <c r="E17" s="524"/>
      <c r="F17" s="635"/>
      <c r="G17" s="525"/>
      <c r="H17" s="625"/>
      <c r="I17" s="625"/>
      <c r="J17" s="625"/>
      <c r="K17" s="625"/>
    </row>
    <row r="18" spans="1:11" ht="15" customHeight="1">
      <c r="A18" s="524" t="str">
        <f>PLANILHA!A15</f>
        <v>2.2</v>
      </c>
      <c r="B18" s="900" t="str">
        <f>PLANILHA!C15</f>
        <v>DEMOLIÇÃO DE ENGRADAMENTO DE TELHA METÁLICA, PVC OU FIBROCIMENTO, INCLUSIVE EMPILHAMENTO</v>
      </c>
      <c r="C18" s="900"/>
      <c r="D18" s="900"/>
      <c r="E18" s="900"/>
      <c r="F18" s="900"/>
      <c r="G18" s="900"/>
      <c r="H18" s="900"/>
      <c r="I18" s="900"/>
      <c r="J18" s="900"/>
      <c r="K18" s="900"/>
    </row>
    <row r="19" spans="1:11">
      <c r="A19" s="633"/>
      <c r="B19" s="900"/>
      <c r="C19" s="900"/>
      <c r="D19" s="900"/>
      <c r="E19" s="900"/>
      <c r="F19" s="900"/>
      <c r="G19" s="900"/>
      <c r="H19" s="625"/>
      <c r="I19" s="625"/>
      <c r="J19" s="625"/>
      <c r="K19" s="625"/>
    </row>
    <row r="20" spans="1:11">
      <c r="A20" s="633"/>
      <c r="B20" s="635"/>
      <c r="C20" s="635"/>
      <c r="D20" s="635"/>
      <c r="E20" s="524"/>
      <c r="F20" s="635"/>
      <c r="G20" s="525"/>
      <c r="H20" s="625"/>
      <c r="I20" s="625"/>
      <c r="J20" s="625"/>
      <c r="K20" s="625"/>
    </row>
    <row r="21" spans="1:11">
      <c r="A21" s="633"/>
      <c r="B21" s="634" t="s">
        <v>194</v>
      </c>
      <c r="C21" s="634" t="s">
        <v>193</v>
      </c>
      <c r="D21" s="636" t="s">
        <v>225</v>
      </c>
      <c r="E21" s="634" t="s">
        <v>224</v>
      </c>
      <c r="F21" s="524"/>
      <c r="G21" s="525"/>
      <c r="H21" s="625"/>
      <c r="I21" s="625"/>
      <c r="J21" s="625"/>
      <c r="K21" s="625"/>
    </row>
    <row r="22" spans="1:11">
      <c r="A22" s="633"/>
      <c r="B22" s="522">
        <v>16.100000000000001</v>
      </c>
      <c r="C22" s="522">
        <v>6.3</v>
      </c>
      <c r="D22" s="636">
        <v>0.125</v>
      </c>
      <c r="E22" s="725">
        <f>(B22*C22)+(B22*C22*D22)</f>
        <v>114.10875000000001</v>
      </c>
      <c r="F22" s="524"/>
      <c r="G22" s="525"/>
      <c r="H22" s="625"/>
      <c r="I22" s="625"/>
      <c r="J22" s="625"/>
      <c r="K22" s="625"/>
    </row>
    <row r="23" spans="1:11">
      <c r="A23" s="633"/>
      <c r="B23" s="637"/>
      <c r="C23" s="637"/>
      <c r="D23" s="625"/>
      <c r="E23" s="723">
        <f>SUM(E22:E22)</f>
        <v>114.10875000000001</v>
      </c>
      <c r="F23" s="722" t="s">
        <v>184</v>
      </c>
      <c r="G23" s="525"/>
      <c r="H23" s="625"/>
      <c r="I23" s="625"/>
      <c r="J23" s="625"/>
      <c r="K23" s="625"/>
    </row>
    <row r="24" spans="1:11">
      <c r="A24" s="633"/>
      <c r="B24" s="635"/>
      <c r="C24" s="635"/>
      <c r="D24" s="635"/>
      <c r="E24" s="524"/>
      <c r="F24" s="635"/>
      <c r="G24" s="525"/>
      <c r="H24" s="625"/>
      <c r="I24" s="625"/>
      <c r="J24" s="625"/>
      <c r="K24" s="625"/>
    </row>
    <row r="25" spans="1:11" ht="15" customHeight="1">
      <c r="A25" s="525" t="str">
        <f>PLANILHA!A16</f>
        <v>2.3</v>
      </c>
      <c r="B25" s="900" t="str">
        <f>PLANILHA!C16</f>
        <v>REMOÇÃO DE TELHA ONDULADA DE FIBROCIMENTO, INCLUSIVE AFASTAMENTO E EMPILHAMENTO</v>
      </c>
      <c r="C25" s="900"/>
      <c r="D25" s="900"/>
      <c r="E25" s="900"/>
      <c r="F25" s="900"/>
      <c r="G25" s="900"/>
      <c r="H25" s="900"/>
      <c r="I25" s="900"/>
      <c r="J25" s="900"/>
      <c r="K25" s="900"/>
    </row>
    <row r="26" spans="1:11" ht="15" customHeight="1">
      <c r="A26" s="525"/>
      <c r="B26" s="900"/>
      <c r="C26" s="900"/>
      <c r="D26" s="900"/>
      <c r="E26" s="900"/>
      <c r="F26" s="900"/>
      <c r="G26" s="900"/>
      <c r="H26" s="625"/>
      <c r="I26" s="625"/>
      <c r="J26" s="625"/>
      <c r="K26" s="625"/>
    </row>
    <row r="27" spans="1:11">
      <c r="A27" s="638"/>
      <c r="B27" s="638"/>
      <c r="C27" s="639"/>
      <c r="D27" s="638"/>
      <c r="E27" s="638"/>
      <c r="F27" s="638"/>
      <c r="G27" s="638"/>
      <c r="H27" s="631"/>
      <c r="I27" s="631"/>
      <c r="J27" s="625"/>
      <c r="K27" s="625"/>
    </row>
    <row r="28" spans="1:11">
      <c r="A28" s="525"/>
      <c r="B28" s="638" t="s">
        <v>186</v>
      </c>
      <c r="C28" s="640"/>
      <c r="D28" s="723">
        <f>E23</f>
        <v>114.10875000000001</v>
      </c>
      <c r="E28" s="722" t="s">
        <v>184</v>
      </c>
      <c r="F28" s="638"/>
      <c r="G28" s="638"/>
      <c r="H28" s="631"/>
      <c r="I28" s="631"/>
      <c r="J28" s="625"/>
      <c r="K28" s="625"/>
    </row>
    <row r="29" spans="1:11">
      <c r="A29" s="525"/>
      <c r="B29" s="638"/>
      <c r="C29" s="640"/>
      <c r="D29" s="641"/>
      <c r="E29" s="642"/>
      <c r="F29" s="638"/>
      <c r="G29" s="638"/>
      <c r="H29" s="631"/>
      <c r="I29" s="631"/>
      <c r="J29" s="625"/>
      <c r="K29" s="625"/>
    </row>
    <row r="30" spans="1:11" ht="15" customHeight="1">
      <c r="A30" s="525" t="s">
        <v>359</v>
      </c>
      <c r="B30" s="900" t="s">
        <v>357</v>
      </c>
      <c r="C30" s="900"/>
      <c r="D30" s="900"/>
      <c r="E30" s="900"/>
      <c r="F30" s="900"/>
      <c r="G30" s="900"/>
      <c r="H30" s="900"/>
      <c r="I30" s="900"/>
      <c r="J30" s="900"/>
      <c r="K30" s="900"/>
    </row>
    <row r="31" spans="1:11" ht="15" customHeight="1">
      <c r="A31" s="525"/>
      <c r="B31" s="900"/>
      <c r="C31" s="900"/>
      <c r="D31" s="900"/>
      <c r="E31" s="900"/>
      <c r="F31" s="900"/>
      <c r="G31" s="900"/>
      <c r="H31" s="625"/>
      <c r="I31" s="625"/>
      <c r="J31" s="625"/>
      <c r="K31" s="625"/>
    </row>
    <row r="32" spans="1:11">
      <c r="A32" s="525"/>
      <c r="B32" s="893" t="s">
        <v>50</v>
      </c>
      <c r="C32" s="894"/>
      <c r="D32" s="895"/>
      <c r="E32" s="643"/>
      <c r="F32" s="638"/>
      <c r="G32" s="638"/>
      <c r="H32" s="631"/>
      <c r="I32" s="631"/>
      <c r="J32" s="625"/>
      <c r="K32" s="625"/>
    </row>
    <row r="33" spans="1:11">
      <c r="A33" s="525"/>
      <c r="B33" s="896" t="s">
        <v>230</v>
      </c>
      <c r="C33" s="897"/>
      <c r="D33" s="644" t="s">
        <v>224</v>
      </c>
      <c r="E33" s="625"/>
      <c r="F33" s="638"/>
      <c r="G33" s="638"/>
      <c r="H33" s="631"/>
      <c r="I33" s="631"/>
      <c r="J33" s="625"/>
      <c r="K33" s="625"/>
    </row>
    <row r="34" spans="1:11">
      <c r="A34" s="525"/>
      <c r="B34" s="898" t="s">
        <v>371</v>
      </c>
      <c r="C34" s="899"/>
      <c r="D34" s="522">
        <v>25.35</v>
      </c>
      <c r="E34" s="641"/>
      <c r="F34" s="638"/>
      <c r="G34" s="638"/>
      <c r="H34" s="631"/>
      <c r="I34" s="631"/>
      <c r="J34" s="625"/>
      <c r="K34" s="625"/>
    </row>
    <row r="35" spans="1:11">
      <c r="A35" s="525"/>
      <c r="B35" s="898" t="s">
        <v>372</v>
      </c>
      <c r="C35" s="899"/>
      <c r="D35" s="725">
        <v>14.87</v>
      </c>
      <c r="E35" s="641"/>
      <c r="F35" s="638"/>
      <c r="G35" s="638"/>
      <c r="H35" s="631"/>
      <c r="I35" s="631"/>
      <c r="J35" s="625"/>
      <c r="K35" s="625"/>
    </row>
    <row r="36" spans="1:11">
      <c r="A36" s="525"/>
      <c r="B36" s="645"/>
      <c r="C36" s="645"/>
      <c r="D36" s="723">
        <f>SUM(D34:D35)</f>
        <v>40.22</v>
      </c>
      <c r="E36" s="726" t="s">
        <v>184</v>
      </c>
      <c r="F36" s="638"/>
      <c r="G36" s="638"/>
      <c r="H36" s="631"/>
      <c r="I36" s="631"/>
      <c r="J36" s="625"/>
      <c r="K36" s="625"/>
    </row>
    <row r="37" spans="1:11">
      <c r="A37" s="525"/>
      <c r="B37" s="638"/>
      <c r="C37" s="640"/>
      <c r="D37" s="641"/>
      <c r="E37" s="642"/>
      <c r="F37" s="638"/>
      <c r="G37" s="638"/>
      <c r="H37" s="631"/>
      <c r="I37" s="631"/>
      <c r="J37" s="625"/>
      <c r="K37" s="625"/>
    </row>
    <row r="38" spans="1:11">
      <c r="A38" s="627">
        <f>PLANILHA!A18</f>
        <v>3</v>
      </c>
      <c r="B38" s="630" t="str">
        <f>'MPO I'!C17</f>
        <v>ALVENARIA</v>
      </c>
      <c r="C38" s="524"/>
      <c r="D38" s="635"/>
      <c r="E38" s="635"/>
      <c r="F38" s="524"/>
      <c r="G38" s="633"/>
      <c r="H38" s="625"/>
      <c r="I38" s="625"/>
      <c r="J38" s="625"/>
      <c r="K38" s="625"/>
    </row>
    <row r="39" spans="1:11">
      <c r="A39" s="524"/>
      <c r="B39" s="635"/>
      <c r="C39" s="635"/>
      <c r="D39" s="635"/>
      <c r="E39" s="635"/>
      <c r="F39" s="635"/>
      <c r="G39" s="633"/>
      <c r="H39" s="625"/>
      <c r="I39" s="625"/>
      <c r="J39" s="625"/>
      <c r="K39" s="625"/>
    </row>
    <row r="40" spans="1:11" ht="14.45" customHeight="1">
      <c r="A40" s="525" t="str">
        <f>PLANILHA!A19</f>
        <v>3.1</v>
      </c>
      <c r="B40" s="865" t="s">
        <v>309</v>
      </c>
      <c r="C40" s="865"/>
      <c r="D40" s="865"/>
      <c r="E40" s="865"/>
      <c r="F40" s="865"/>
      <c r="G40" s="865"/>
      <c r="H40" s="865"/>
      <c r="I40" s="865"/>
      <c r="J40" s="865"/>
      <c r="K40" s="865"/>
    </row>
    <row r="41" spans="1:11" ht="15" hidden="1" customHeight="1">
      <c r="A41" s="633"/>
      <c r="B41" s="865"/>
      <c r="C41" s="865"/>
      <c r="D41" s="865"/>
      <c r="E41" s="865"/>
      <c r="F41" s="865"/>
      <c r="G41" s="865"/>
      <c r="H41" s="865"/>
      <c r="I41" s="865"/>
      <c r="J41" s="865"/>
      <c r="K41" s="865"/>
    </row>
    <row r="42" spans="1:11">
      <c r="A42" s="633"/>
      <c r="B42" s="865"/>
      <c r="C42" s="865"/>
      <c r="D42" s="865"/>
      <c r="E42" s="865"/>
      <c r="F42" s="865"/>
      <c r="G42" s="865"/>
      <c r="H42" s="865"/>
      <c r="I42" s="865"/>
      <c r="J42" s="865"/>
      <c r="K42" s="865"/>
    </row>
    <row r="43" spans="1:11">
      <c r="A43" s="633"/>
      <c r="B43" s="638" t="s">
        <v>460</v>
      </c>
      <c r="C43" s="638"/>
      <c r="D43" s="638"/>
      <c r="E43" s="638"/>
      <c r="F43" s="635"/>
      <c r="G43" s="633"/>
      <c r="H43" s="625"/>
      <c r="I43" s="625"/>
      <c r="J43" s="625"/>
      <c r="K43" s="625"/>
    </row>
    <row r="44" spans="1:11">
      <c r="A44" s="524"/>
      <c r="B44" s="635"/>
      <c r="C44" s="635"/>
      <c r="D44" s="635"/>
      <c r="E44" s="635"/>
      <c r="F44" s="635"/>
      <c r="G44" s="633"/>
      <c r="H44" s="625"/>
      <c r="I44" s="625"/>
      <c r="J44" s="625"/>
      <c r="K44" s="625"/>
    </row>
    <row r="45" spans="1:11">
      <c r="A45" s="633"/>
      <c r="B45" s="634" t="s">
        <v>194</v>
      </c>
      <c r="C45" s="634" t="s">
        <v>227</v>
      </c>
      <c r="D45" s="634" t="s">
        <v>195</v>
      </c>
      <c r="E45" s="634" t="s">
        <v>224</v>
      </c>
      <c r="F45" s="635"/>
      <c r="G45" s="633"/>
      <c r="H45" s="625"/>
      <c r="I45" s="625"/>
      <c r="J45" s="625"/>
      <c r="K45" s="625"/>
    </row>
    <row r="46" spans="1:11">
      <c r="A46" s="633"/>
      <c r="B46" s="522">
        <v>6.5</v>
      </c>
      <c r="C46" s="522">
        <v>0.45</v>
      </c>
      <c r="D46" s="522">
        <v>2</v>
      </c>
      <c r="E46" s="522">
        <f>B46*C46*D46</f>
        <v>5.8500000000000005</v>
      </c>
      <c r="F46" s="635"/>
      <c r="G46" s="633"/>
      <c r="H46" s="625"/>
      <c r="I46" s="625"/>
      <c r="J46" s="625"/>
      <c r="K46" s="625"/>
    </row>
    <row r="47" spans="1:11">
      <c r="A47" s="633"/>
      <c r="B47" s="522">
        <v>16.3</v>
      </c>
      <c r="C47" s="522">
        <v>0.45</v>
      </c>
      <c r="D47" s="522">
        <v>2</v>
      </c>
      <c r="E47" s="725">
        <f t="shared" ref="E47" si="0">B47*C47*D47</f>
        <v>14.670000000000002</v>
      </c>
      <c r="F47" s="646"/>
      <c r="G47" s="647"/>
      <c r="H47" s="625"/>
      <c r="I47" s="625"/>
      <c r="J47" s="625"/>
      <c r="K47" s="625"/>
    </row>
    <row r="48" spans="1:11">
      <c r="A48" s="638"/>
      <c r="B48" s="638"/>
      <c r="C48" s="639"/>
      <c r="D48" s="638"/>
      <c r="E48" s="723">
        <f>SUM(E46:E47)</f>
        <v>20.520000000000003</v>
      </c>
      <c r="F48" s="722" t="s">
        <v>184</v>
      </c>
      <c r="G48" s="638"/>
      <c r="H48" s="631"/>
      <c r="I48" s="631"/>
      <c r="J48" s="625"/>
      <c r="K48" s="625"/>
    </row>
    <row r="49" spans="1:14">
      <c r="A49" s="638"/>
      <c r="B49" s="648"/>
      <c r="C49" s="648"/>
      <c r="D49" s="648"/>
      <c r="E49" s="648"/>
      <c r="F49" s="638"/>
      <c r="G49" s="638"/>
      <c r="H49" s="625"/>
      <c r="I49" s="625"/>
      <c r="J49" s="625"/>
      <c r="K49" s="625"/>
      <c r="L49" s="168"/>
      <c r="M49" s="169"/>
      <c r="N49" s="168"/>
    </row>
    <row r="50" spans="1:14">
      <c r="A50" s="627">
        <f>PLANILHA!A22</f>
        <v>4</v>
      </c>
      <c r="B50" s="630" t="str">
        <f>PLANILHA!C22</f>
        <v>REVESTIMENTO</v>
      </c>
      <c r="C50" s="635"/>
      <c r="D50" s="649"/>
      <c r="E50" s="635"/>
      <c r="F50" s="650"/>
      <c r="G50" s="638"/>
      <c r="H50" s="625"/>
      <c r="I50" s="625"/>
      <c r="J50" s="625"/>
      <c r="K50" s="625"/>
      <c r="L50" s="168"/>
      <c r="M50" s="169"/>
      <c r="N50" s="168"/>
    </row>
    <row r="51" spans="1:14">
      <c r="A51" s="638"/>
      <c r="B51" s="635"/>
      <c r="C51" s="635"/>
      <c r="D51" s="649"/>
      <c r="E51" s="635"/>
      <c r="F51" s="650"/>
      <c r="G51" s="638"/>
      <c r="H51" s="625"/>
      <c r="I51" s="625"/>
      <c r="J51" s="625"/>
      <c r="K51" s="625"/>
      <c r="L51" s="168"/>
      <c r="M51" s="169"/>
      <c r="N51" s="168"/>
    </row>
    <row r="52" spans="1:14" ht="14.45" customHeight="1">
      <c r="A52" s="525" t="str">
        <f>PLANILHA!A23</f>
        <v>4.1</v>
      </c>
      <c r="B52" s="901" t="s">
        <v>312</v>
      </c>
      <c r="C52" s="901"/>
      <c r="D52" s="901"/>
      <c r="E52" s="901"/>
      <c r="F52" s="901"/>
      <c r="G52" s="901"/>
      <c r="H52" s="901"/>
      <c r="I52" s="901"/>
      <c r="J52" s="901"/>
      <c r="K52" s="901"/>
      <c r="L52" s="168"/>
      <c r="M52" s="169"/>
      <c r="N52" s="168"/>
    </row>
    <row r="53" spans="1:14">
      <c r="A53" s="638"/>
      <c r="B53" s="901"/>
      <c r="C53" s="901"/>
      <c r="D53" s="901"/>
      <c r="E53" s="901"/>
      <c r="F53" s="901"/>
      <c r="G53" s="901"/>
      <c r="H53" s="901"/>
      <c r="I53" s="901"/>
      <c r="J53" s="901"/>
      <c r="K53" s="901"/>
      <c r="L53" s="168"/>
      <c r="M53" s="169"/>
      <c r="N53" s="168"/>
    </row>
    <row r="54" spans="1:14">
      <c r="A54" s="638"/>
      <c r="B54" s="638" t="s">
        <v>226</v>
      </c>
      <c r="C54" s="638"/>
      <c r="D54" s="638"/>
      <c r="E54" s="638"/>
      <c r="F54" s="635"/>
      <c r="G54" s="638"/>
      <c r="H54" s="625"/>
      <c r="I54" s="625"/>
      <c r="J54" s="625"/>
      <c r="K54" s="625"/>
      <c r="L54" s="168"/>
      <c r="M54" s="169"/>
      <c r="N54" s="168"/>
    </row>
    <row r="55" spans="1:14">
      <c r="A55" s="638"/>
      <c r="B55" s="635"/>
      <c r="C55" s="635"/>
      <c r="D55" s="635"/>
      <c r="E55" s="635"/>
      <c r="F55" s="635"/>
      <c r="G55" s="638"/>
      <c r="H55" s="625"/>
      <c r="I55" s="625"/>
      <c r="J55" s="625"/>
      <c r="K55" s="625"/>
      <c r="L55" s="168"/>
      <c r="M55" s="169"/>
      <c r="N55" s="168"/>
    </row>
    <row r="56" spans="1:14">
      <c r="A56" s="625"/>
      <c r="B56" s="634" t="s">
        <v>194</v>
      </c>
      <c r="C56" s="634" t="s">
        <v>227</v>
      </c>
      <c r="D56" s="634" t="s">
        <v>195</v>
      </c>
      <c r="E56" s="634" t="s">
        <v>185</v>
      </c>
      <c r="F56" s="634" t="s">
        <v>224</v>
      </c>
      <c r="G56" s="635"/>
      <c r="H56" s="625"/>
      <c r="I56" s="625"/>
      <c r="J56" s="625"/>
      <c r="K56" s="625"/>
      <c r="L56" s="168"/>
      <c r="M56" s="169"/>
      <c r="N56" s="168"/>
    </row>
    <row r="57" spans="1:14">
      <c r="A57" s="625"/>
      <c r="B57" s="522">
        <f t="shared" ref="B57:D58" si="1">B46</f>
        <v>6.5</v>
      </c>
      <c r="C57" s="522">
        <f t="shared" si="1"/>
        <v>0.45</v>
      </c>
      <c r="D57" s="522">
        <f t="shared" si="1"/>
        <v>2</v>
      </c>
      <c r="E57" s="522">
        <v>2</v>
      </c>
      <c r="F57" s="522">
        <f>B57*C57*D57*E57</f>
        <v>11.700000000000001</v>
      </c>
      <c r="G57" s="635"/>
      <c r="H57" s="625"/>
      <c r="I57" s="625"/>
      <c r="J57" s="625"/>
      <c r="K57" s="625"/>
      <c r="L57" s="168"/>
      <c r="M57" s="169"/>
      <c r="N57" s="168"/>
    </row>
    <row r="58" spans="1:14">
      <c r="A58" s="625"/>
      <c r="B58" s="522">
        <f t="shared" si="1"/>
        <v>16.3</v>
      </c>
      <c r="C58" s="522">
        <f t="shared" si="1"/>
        <v>0.45</v>
      </c>
      <c r="D58" s="522">
        <f t="shared" si="1"/>
        <v>2</v>
      </c>
      <c r="E58" s="522">
        <v>2</v>
      </c>
      <c r="F58" s="725">
        <f>B58*C58*D58*E58</f>
        <v>29.340000000000003</v>
      </c>
      <c r="G58" s="646"/>
      <c r="H58" s="625"/>
      <c r="I58" s="625"/>
      <c r="J58" s="625"/>
      <c r="K58" s="625"/>
      <c r="L58" s="168"/>
      <c r="M58" s="169"/>
      <c r="N58" s="168"/>
    </row>
    <row r="59" spans="1:14">
      <c r="A59" s="625"/>
      <c r="B59" s="638"/>
      <c r="C59" s="638"/>
      <c r="D59" s="639"/>
      <c r="E59" s="638"/>
      <c r="F59" s="723">
        <f>SUM(F57:F58)</f>
        <v>41.040000000000006</v>
      </c>
      <c r="G59" s="722" t="s">
        <v>184</v>
      </c>
      <c r="H59" s="625"/>
      <c r="I59" s="625"/>
      <c r="J59" s="625"/>
      <c r="K59" s="625"/>
      <c r="L59" s="168"/>
      <c r="M59" s="169"/>
      <c r="N59" s="168"/>
    </row>
    <row r="60" spans="1:14">
      <c r="A60" s="638"/>
      <c r="B60" s="638"/>
      <c r="C60" s="651"/>
      <c r="D60" s="651"/>
      <c r="E60" s="652"/>
      <c r="F60" s="646"/>
      <c r="G60" s="638"/>
      <c r="H60" s="625"/>
      <c r="I60" s="625"/>
      <c r="J60" s="625"/>
      <c r="K60" s="625"/>
      <c r="L60" s="168"/>
      <c r="M60" s="169"/>
      <c r="N60" s="168"/>
    </row>
    <row r="61" spans="1:14" ht="14.45" customHeight="1">
      <c r="A61" s="525" t="str">
        <f>PLANILHA!A24</f>
        <v>4.2</v>
      </c>
      <c r="B61" s="901" t="s">
        <v>314</v>
      </c>
      <c r="C61" s="901"/>
      <c r="D61" s="901"/>
      <c r="E61" s="901"/>
      <c r="F61" s="901"/>
      <c r="G61" s="901"/>
      <c r="H61" s="901"/>
      <c r="I61" s="901"/>
      <c r="J61" s="901"/>
      <c r="K61" s="901"/>
      <c r="L61" s="168"/>
      <c r="M61" s="169"/>
      <c r="N61" s="168"/>
    </row>
    <row r="62" spans="1:14">
      <c r="A62" s="525"/>
      <c r="B62" s="901"/>
      <c r="C62" s="901"/>
      <c r="D62" s="901"/>
      <c r="E62" s="901"/>
      <c r="F62" s="901"/>
      <c r="G62" s="901"/>
      <c r="H62" s="901"/>
      <c r="I62" s="901"/>
      <c r="J62" s="901"/>
      <c r="K62" s="901"/>
      <c r="L62" s="168"/>
      <c r="M62" s="169"/>
      <c r="N62" s="168"/>
    </row>
    <row r="63" spans="1:14">
      <c r="A63" s="525"/>
      <c r="B63" s="638"/>
      <c r="C63" s="651"/>
      <c r="D63" s="651"/>
      <c r="E63" s="651"/>
      <c r="F63" s="653"/>
      <c r="G63" s="650"/>
      <c r="H63" s="625"/>
      <c r="I63" s="625"/>
      <c r="J63" s="625"/>
      <c r="K63" s="625"/>
      <c r="L63" s="168"/>
      <c r="M63" s="169"/>
      <c r="N63" s="168"/>
    </row>
    <row r="64" spans="1:14">
      <c r="A64" s="654"/>
      <c r="B64" s="638" t="s">
        <v>197</v>
      </c>
      <c r="C64" s="638"/>
      <c r="D64" s="723">
        <f>F59</f>
        <v>41.040000000000006</v>
      </c>
      <c r="E64" s="722" t="s">
        <v>184</v>
      </c>
      <c r="F64" s="653"/>
      <c r="G64" s="650"/>
      <c r="H64" s="625"/>
      <c r="I64" s="625"/>
      <c r="J64" s="625"/>
      <c r="K64" s="625"/>
      <c r="L64" s="168"/>
      <c r="M64" s="169"/>
      <c r="N64" s="168"/>
    </row>
    <row r="65" spans="1:14" ht="21" customHeight="1">
      <c r="A65" s="654"/>
      <c r="B65" s="638"/>
      <c r="C65" s="638"/>
      <c r="D65" s="641"/>
      <c r="E65" s="642"/>
      <c r="F65" s="653"/>
      <c r="G65" s="650"/>
      <c r="H65" s="625"/>
      <c r="I65" s="625"/>
      <c r="J65" s="625"/>
      <c r="K65" s="625"/>
      <c r="L65" s="168"/>
      <c r="M65" s="169"/>
      <c r="N65" s="168"/>
    </row>
    <row r="66" spans="1:14">
      <c r="A66" s="627">
        <f>PLANILHA!A26</f>
        <v>5</v>
      </c>
      <c r="B66" s="630" t="str">
        <f>PLANILHA!C26</f>
        <v>COBERTURA</v>
      </c>
      <c r="C66" s="655"/>
      <c r="D66" s="655"/>
      <c r="E66" s="655"/>
      <c r="F66" s="638"/>
      <c r="G66" s="638"/>
      <c r="H66" s="625"/>
      <c r="I66" s="625"/>
      <c r="J66" s="625"/>
      <c r="K66" s="631"/>
      <c r="L66" s="168"/>
      <c r="M66" s="169"/>
      <c r="N66" s="168"/>
    </row>
    <row r="67" spans="1:14">
      <c r="A67" s="638"/>
      <c r="B67" s="655"/>
      <c r="C67" s="656"/>
      <c r="D67" s="655"/>
      <c r="E67" s="656"/>
      <c r="F67" s="638"/>
      <c r="G67" s="638"/>
      <c r="H67" s="625"/>
      <c r="I67" s="625"/>
      <c r="J67" s="625"/>
      <c r="K67" s="631"/>
      <c r="L67" s="168"/>
      <c r="M67" s="168"/>
      <c r="N67" s="168"/>
    </row>
    <row r="68" spans="1:14" ht="14.45" customHeight="1">
      <c r="A68" s="525" t="str">
        <f>PLANILHA!A27</f>
        <v>5.1</v>
      </c>
      <c r="B68" s="901" t="s">
        <v>335</v>
      </c>
      <c r="C68" s="901"/>
      <c r="D68" s="901"/>
      <c r="E68" s="901"/>
      <c r="F68" s="901"/>
      <c r="G68" s="901"/>
      <c r="H68" s="901"/>
      <c r="I68" s="901"/>
      <c r="J68" s="901"/>
      <c r="K68" s="761"/>
      <c r="L68" s="168"/>
      <c r="M68" s="169"/>
    </row>
    <row r="69" spans="1:14" ht="14.45" customHeight="1">
      <c r="A69" s="525"/>
      <c r="B69" s="901"/>
      <c r="C69" s="901"/>
      <c r="D69" s="901"/>
      <c r="E69" s="901"/>
      <c r="F69" s="901"/>
      <c r="G69" s="901"/>
      <c r="H69" s="901"/>
      <c r="I69" s="901"/>
      <c r="J69" s="901"/>
      <c r="K69" s="761"/>
      <c r="L69" s="168"/>
      <c r="M69" s="169"/>
    </row>
    <row r="70" spans="1:14">
      <c r="A70" s="638"/>
      <c r="B70" s="655"/>
      <c r="C70" s="656"/>
      <c r="D70" s="657"/>
      <c r="E70" s="656"/>
      <c r="F70" s="638"/>
      <c r="G70" s="638"/>
      <c r="H70" s="625"/>
      <c r="I70" s="625"/>
      <c r="J70" s="625"/>
      <c r="K70" s="625"/>
      <c r="L70" s="168"/>
      <c r="M70" s="169"/>
    </row>
    <row r="71" spans="1:14">
      <c r="A71" s="638"/>
      <c r="B71" s="634" t="s">
        <v>194</v>
      </c>
      <c r="C71" s="634" t="s">
        <v>193</v>
      </c>
      <c r="D71" s="634" t="s">
        <v>225</v>
      </c>
      <c r="E71" s="634" t="s">
        <v>224</v>
      </c>
      <c r="F71" s="524"/>
      <c r="G71" s="638"/>
      <c r="H71" s="625"/>
      <c r="I71" s="625"/>
      <c r="J71" s="625"/>
      <c r="K71" s="625"/>
      <c r="L71" s="168"/>
      <c r="M71" s="169"/>
    </row>
    <row r="72" spans="1:14">
      <c r="A72" s="638"/>
      <c r="B72" s="522">
        <v>16.100000000000001</v>
      </c>
      <c r="C72" s="522">
        <v>6.3</v>
      </c>
      <c r="D72" s="658">
        <v>0.15</v>
      </c>
      <c r="E72" s="725">
        <f>(B72*C72)+(B72*C72*D72)</f>
        <v>116.64450000000001</v>
      </c>
      <c r="F72" s="524"/>
      <c r="G72" s="638"/>
      <c r="H72" s="625"/>
      <c r="I72" s="625"/>
      <c r="J72" s="625"/>
      <c r="K72" s="625"/>
      <c r="L72" s="168"/>
      <c r="M72" s="169"/>
      <c r="N72" s="168"/>
    </row>
    <row r="73" spans="1:14">
      <c r="A73" s="525"/>
      <c r="B73" s="637"/>
      <c r="C73" s="637"/>
      <c r="D73" s="625"/>
      <c r="E73" s="723">
        <f>SUM(E72:E72)</f>
        <v>116.64450000000001</v>
      </c>
      <c r="F73" s="722" t="s">
        <v>184</v>
      </c>
      <c r="G73" s="659"/>
      <c r="H73" s="631"/>
      <c r="I73" s="631"/>
      <c r="J73" s="625"/>
      <c r="K73" s="625"/>
    </row>
    <row r="74" spans="1:14">
      <c r="A74" s="638"/>
      <c r="B74" s="638"/>
      <c r="C74" s="639"/>
      <c r="D74" s="660"/>
      <c r="E74" s="660"/>
      <c r="F74" s="661"/>
      <c r="G74" s="662"/>
      <c r="H74" s="631"/>
      <c r="I74" s="631"/>
      <c r="J74" s="625"/>
      <c r="K74" s="625"/>
    </row>
    <row r="75" spans="1:14" ht="14.45" customHeight="1">
      <c r="A75" s="525" t="str">
        <f>PLANILHA!A28</f>
        <v>5.2</v>
      </c>
      <c r="B75" s="901" t="s">
        <v>336</v>
      </c>
      <c r="C75" s="901"/>
      <c r="D75" s="901"/>
      <c r="E75" s="901"/>
      <c r="F75" s="901"/>
      <c r="G75" s="901"/>
      <c r="H75" s="901"/>
      <c r="I75" s="901"/>
      <c r="J75" s="901"/>
      <c r="K75" s="761"/>
    </row>
    <row r="76" spans="1:14" ht="13.15" customHeight="1">
      <c r="A76" s="525"/>
      <c r="B76" s="901"/>
      <c r="C76" s="901"/>
      <c r="D76" s="901"/>
      <c r="E76" s="901"/>
      <c r="F76" s="901"/>
      <c r="G76" s="901"/>
      <c r="H76" s="901"/>
      <c r="I76" s="901"/>
      <c r="J76" s="901"/>
      <c r="K76" s="761"/>
    </row>
    <row r="77" spans="1:14">
      <c r="A77" s="643"/>
      <c r="B77" s="643"/>
      <c r="C77" s="524"/>
      <c r="D77" s="524"/>
      <c r="E77" s="646"/>
      <c r="F77" s="647"/>
      <c r="G77" s="638"/>
      <c r="H77" s="625"/>
      <c r="I77" s="625"/>
      <c r="J77" s="625"/>
      <c r="K77" s="625"/>
    </row>
    <row r="78" spans="1:14">
      <c r="A78" s="638"/>
      <c r="B78" s="638" t="s">
        <v>228</v>
      </c>
      <c r="C78" s="639"/>
      <c r="D78" s="723">
        <f>E73</f>
        <v>116.64450000000001</v>
      </c>
      <c r="E78" s="722" t="s">
        <v>184</v>
      </c>
      <c r="F78" s="661"/>
      <c r="G78" s="662"/>
      <c r="H78" s="631"/>
      <c r="I78" s="631"/>
      <c r="J78" s="625"/>
      <c r="K78" s="625"/>
    </row>
    <row r="79" spans="1:14" ht="15" hidden="1" customHeight="1">
      <c r="A79" s="525"/>
      <c r="B79" s="638"/>
      <c r="C79" s="639"/>
      <c r="D79" s="660"/>
      <c r="E79" s="660"/>
      <c r="F79" s="661"/>
      <c r="G79" s="662"/>
      <c r="H79" s="631"/>
      <c r="I79" s="631"/>
      <c r="J79" s="625"/>
      <c r="K79" s="625"/>
    </row>
    <row r="80" spans="1:14" ht="15" hidden="1" customHeight="1">
      <c r="A80" s="525"/>
      <c r="B80" s="638"/>
      <c r="C80" s="639"/>
      <c r="D80" s="660"/>
      <c r="E80" s="660"/>
      <c r="F80" s="661"/>
      <c r="G80" s="662"/>
      <c r="H80" s="631"/>
      <c r="I80" s="631"/>
      <c r="J80" s="625"/>
      <c r="K80" s="625"/>
    </row>
    <row r="81" spans="1:12" ht="15" hidden="1" customHeight="1">
      <c r="A81" s="525"/>
      <c r="B81" s="638"/>
      <c r="C81" s="639"/>
      <c r="D81" s="660"/>
      <c r="E81" s="638"/>
      <c r="F81" s="638"/>
      <c r="G81" s="638"/>
      <c r="H81" s="631"/>
      <c r="I81" s="631"/>
      <c r="J81" s="625"/>
      <c r="K81" s="625"/>
    </row>
    <row r="82" spans="1:12" ht="15" hidden="1" customHeight="1">
      <c r="A82" s="525"/>
      <c r="B82" s="663"/>
      <c r="C82" s="660"/>
      <c r="D82" s="664"/>
      <c r="E82" s="660"/>
      <c r="F82" s="665"/>
      <c r="G82" s="662"/>
      <c r="H82" s="631"/>
      <c r="I82" s="631"/>
      <c r="J82" s="625"/>
      <c r="K82" s="625"/>
    </row>
    <row r="83" spans="1:12" ht="15" hidden="1" customHeight="1">
      <c r="A83" s="638"/>
      <c r="B83" s="638"/>
      <c r="C83" s="639"/>
      <c r="D83" s="660"/>
      <c r="E83" s="660"/>
      <c r="F83" s="661"/>
      <c r="G83" s="662"/>
      <c r="H83" s="631"/>
      <c r="I83" s="631"/>
      <c r="J83" s="625"/>
      <c r="K83" s="625"/>
    </row>
    <row r="84" spans="1:12">
      <c r="A84" s="638"/>
      <c r="B84" s="638"/>
      <c r="C84" s="639"/>
      <c r="D84" s="660"/>
      <c r="E84" s="660"/>
      <c r="F84" s="661"/>
      <c r="G84" s="662"/>
      <c r="H84" s="631"/>
      <c r="I84" s="631"/>
      <c r="J84" s="625"/>
      <c r="K84" s="625"/>
    </row>
    <row r="85" spans="1:12">
      <c r="A85" s="525" t="str">
        <f>PLANILHA!A29</f>
        <v>5.3</v>
      </c>
      <c r="B85" s="638" t="str">
        <f>PLANILHA!C29</f>
        <v>FORNECIMENTO E INSTALAÇÃO DE RUFO EM CHAPA GALVANIZADA Nº. 24</v>
      </c>
      <c r="C85" s="639"/>
      <c r="D85" s="660"/>
      <c r="E85" s="660"/>
      <c r="F85" s="661"/>
      <c r="G85" s="662"/>
      <c r="H85" s="631"/>
      <c r="I85" s="631"/>
      <c r="J85" s="625"/>
      <c r="K85" s="625"/>
    </row>
    <row r="86" spans="1:12">
      <c r="A86" s="525"/>
      <c r="B86" s="638"/>
      <c r="C86" s="639"/>
      <c r="D86" s="660"/>
      <c r="E86" s="660"/>
      <c r="F86" s="661"/>
      <c r="G86" s="662"/>
      <c r="H86" s="631"/>
      <c r="I86" s="631"/>
      <c r="J86" s="625"/>
      <c r="K86" s="625"/>
    </row>
    <row r="87" spans="1:12">
      <c r="A87" s="525"/>
      <c r="B87" s="634" t="s">
        <v>194</v>
      </c>
      <c r="C87" s="634" t="s">
        <v>195</v>
      </c>
      <c r="D87" s="634" t="s">
        <v>229</v>
      </c>
      <c r="E87" s="651"/>
      <c r="F87" s="661"/>
      <c r="G87" s="662"/>
      <c r="H87" s="631"/>
      <c r="I87" s="631"/>
      <c r="J87" s="625"/>
      <c r="K87" s="625"/>
    </row>
    <row r="88" spans="1:12">
      <c r="A88" s="525"/>
      <c r="B88" s="522">
        <v>16.100000000000001</v>
      </c>
      <c r="C88" s="522">
        <v>2</v>
      </c>
      <c r="D88" s="658">
        <f>B88*C88</f>
        <v>32.200000000000003</v>
      </c>
      <c r="E88" s="651"/>
      <c r="F88" s="661"/>
      <c r="G88" s="662"/>
      <c r="H88" s="631"/>
      <c r="I88" s="631"/>
      <c r="J88" s="625"/>
      <c r="K88" s="625"/>
    </row>
    <row r="89" spans="1:12">
      <c r="A89" s="525"/>
      <c r="B89" s="522">
        <v>6.3</v>
      </c>
      <c r="C89" s="522">
        <v>2</v>
      </c>
      <c r="D89" s="727">
        <f>B89*C89</f>
        <v>12.6</v>
      </c>
      <c r="E89" s="635"/>
      <c r="F89" s="661"/>
      <c r="G89" s="662"/>
      <c r="H89" s="631"/>
      <c r="I89" s="631"/>
      <c r="J89" s="625"/>
      <c r="K89" s="625"/>
    </row>
    <row r="90" spans="1:12">
      <c r="A90" s="525"/>
      <c r="B90" s="635"/>
      <c r="C90" s="635"/>
      <c r="D90" s="723">
        <f>SUM(D88:D89)</f>
        <v>44.800000000000004</v>
      </c>
      <c r="E90" s="722" t="s">
        <v>187</v>
      </c>
      <c r="F90" s="661"/>
      <c r="G90" s="662"/>
      <c r="H90" s="631"/>
      <c r="I90" s="631"/>
      <c r="J90" s="625"/>
      <c r="K90" s="625"/>
    </row>
    <row r="91" spans="1:12">
      <c r="A91" s="638"/>
      <c r="B91" s="638"/>
      <c r="C91" s="639"/>
      <c r="D91" s="660"/>
      <c r="E91" s="660"/>
      <c r="F91" s="661"/>
      <c r="G91" s="662"/>
      <c r="H91" s="631"/>
      <c r="I91" s="631"/>
      <c r="J91" s="625"/>
      <c r="K91" s="625"/>
    </row>
    <row r="92" spans="1:12">
      <c r="A92" s="525" t="str">
        <f>PLANILHA!A30</f>
        <v>5.4</v>
      </c>
      <c r="B92" s="625" t="s">
        <v>318</v>
      </c>
      <c r="C92" s="666"/>
      <c r="D92" s="666"/>
      <c r="E92" s="666"/>
      <c r="F92" s="666"/>
      <c r="G92" s="666"/>
      <c r="H92" s="630"/>
      <c r="I92" s="630"/>
      <c r="J92" s="625"/>
      <c r="K92" s="625"/>
    </row>
    <row r="93" spans="1:12">
      <c r="A93" s="638"/>
      <c r="B93" s="638"/>
      <c r="C93" s="650"/>
      <c r="D93" s="650"/>
      <c r="E93" s="650"/>
      <c r="F93" s="650"/>
      <c r="G93" s="650"/>
      <c r="H93" s="667"/>
      <c r="I93" s="667"/>
      <c r="J93" s="625"/>
      <c r="K93" s="625"/>
    </row>
    <row r="94" spans="1:12">
      <c r="A94" s="525"/>
      <c r="B94" s="634" t="s">
        <v>194</v>
      </c>
      <c r="C94" s="634" t="s">
        <v>195</v>
      </c>
      <c r="D94" s="634" t="s">
        <v>229</v>
      </c>
      <c r="E94" s="651"/>
      <c r="F94" s="653"/>
      <c r="G94" s="650"/>
      <c r="H94" s="667"/>
      <c r="I94" s="667"/>
      <c r="J94" s="625"/>
      <c r="K94" s="625"/>
    </row>
    <row r="95" spans="1:12">
      <c r="A95" s="638"/>
      <c r="B95" s="522">
        <v>16.3</v>
      </c>
      <c r="C95" s="522">
        <v>1</v>
      </c>
      <c r="D95" s="727">
        <f>B95*C95</f>
        <v>16.3</v>
      </c>
      <c r="E95" s="651"/>
      <c r="F95" s="653"/>
      <c r="G95" s="650"/>
      <c r="H95" s="667"/>
      <c r="I95" s="667"/>
      <c r="J95" s="625"/>
      <c r="K95" s="625"/>
    </row>
    <row r="96" spans="1:12">
      <c r="A96" s="524"/>
      <c r="B96" s="635"/>
      <c r="C96" s="635"/>
      <c r="D96" s="723">
        <f>SUM(D95:D95)</f>
        <v>16.3</v>
      </c>
      <c r="E96" s="722" t="s">
        <v>187</v>
      </c>
      <c r="F96" s="524"/>
      <c r="G96" s="638"/>
      <c r="H96" s="667"/>
      <c r="I96" s="667"/>
      <c r="J96" s="635"/>
      <c r="K96" s="649"/>
      <c r="L96" s="182"/>
    </row>
    <row r="97" spans="1:12">
      <c r="A97" s="524"/>
      <c r="B97" s="635"/>
      <c r="C97" s="635"/>
      <c r="D97" s="649"/>
      <c r="E97" s="635"/>
      <c r="F97" s="524"/>
      <c r="G97" s="638"/>
      <c r="H97" s="667"/>
      <c r="I97" s="667"/>
      <c r="J97" s="635"/>
      <c r="K97" s="649"/>
      <c r="L97" s="182"/>
    </row>
    <row r="98" spans="1:12" ht="15" customHeight="1">
      <c r="A98" s="525" t="str">
        <f>PLANILHA!A31</f>
        <v>5.5</v>
      </c>
      <c r="B98" s="901" t="s">
        <v>320</v>
      </c>
      <c r="C98" s="901"/>
      <c r="D98" s="901"/>
      <c r="E98" s="901"/>
      <c r="F98" s="901"/>
      <c r="G98" s="901"/>
      <c r="H98" s="901"/>
      <c r="I98" s="901"/>
      <c r="J98" s="901"/>
      <c r="K98" s="901"/>
      <c r="L98" s="182"/>
    </row>
    <row r="99" spans="1:12" ht="1.9" customHeight="1">
      <c r="A99" s="638"/>
      <c r="B99" s="901"/>
      <c r="C99" s="901"/>
      <c r="D99" s="901"/>
      <c r="E99" s="901"/>
      <c r="F99" s="901"/>
      <c r="G99" s="901"/>
      <c r="H99" s="901"/>
      <c r="I99" s="901"/>
      <c r="J99" s="901"/>
      <c r="K99" s="901"/>
      <c r="L99" s="182"/>
    </row>
    <row r="100" spans="1:12">
      <c r="A100" s="638"/>
      <c r="B100" s="635"/>
      <c r="C100" s="635"/>
      <c r="D100" s="649"/>
      <c r="E100" s="635"/>
      <c r="F100" s="650"/>
      <c r="G100" s="638"/>
      <c r="H100" s="667"/>
      <c r="I100" s="667"/>
      <c r="J100" s="635"/>
      <c r="K100" s="649"/>
      <c r="L100" s="182"/>
    </row>
    <row r="101" spans="1:12">
      <c r="A101" s="638"/>
      <c r="B101" s="634" t="s">
        <v>194</v>
      </c>
      <c r="C101" s="634" t="s">
        <v>195</v>
      </c>
      <c r="D101" s="634" t="s">
        <v>229</v>
      </c>
      <c r="E101" s="635"/>
      <c r="F101" s="650"/>
      <c r="G101" s="638"/>
      <c r="H101" s="667"/>
      <c r="I101" s="667"/>
      <c r="J101" s="635"/>
      <c r="K101" s="649"/>
      <c r="L101" s="182"/>
    </row>
    <row r="102" spans="1:12">
      <c r="A102" s="638"/>
      <c r="B102" s="522">
        <v>4.5</v>
      </c>
      <c r="C102" s="522">
        <v>3</v>
      </c>
      <c r="D102" s="727">
        <f>B102*C102</f>
        <v>13.5</v>
      </c>
      <c r="E102" s="635"/>
      <c r="F102" s="650"/>
      <c r="G102" s="638"/>
      <c r="H102" s="667"/>
      <c r="I102" s="667"/>
      <c r="J102" s="635"/>
      <c r="K102" s="649"/>
      <c r="L102" s="182"/>
    </row>
    <row r="103" spans="1:12">
      <c r="A103" s="638"/>
      <c r="B103" s="635"/>
      <c r="C103" s="635"/>
      <c r="D103" s="723">
        <f>SUM(D102:D102)</f>
        <v>13.5</v>
      </c>
      <c r="E103" s="722" t="s">
        <v>187</v>
      </c>
      <c r="F103" s="650"/>
      <c r="G103" s="638"/>
      <c r="H103" s="667"/>
      <c r="I103" s="667"/>
      <c r="J103" s="635"/>
      <c r="K103" s="649"/>
      <c r="L103" s="182"/>
    </row>
    <row r="104" spans="1:12">
      <c r="A104" s="638"/>
      <c r="B104" s="635"/>
      <c r="C104" s="635"/>
      <c r="D104" s="641"/>
      <c r="E104" s="642"/>
      <c r="F104" s="650"/>
      <c r="G104" s="638"/>
      <c r="H104" s="667"/>
      <c r="I104" s="667"/>
      <c r="J104" s="635"/>
      <c r="K104" s="649"/>
      <c r="L104" s="182"/>
    </row>
    <row r="105" spans="1:12" ht="15" customHeight="1">
      <c r="A105" s="525" t="s">
        <v>250</v>
      </c>
      <c r="B105" s="901" t="s">
        <v>405</v>
      </c>
      <c r="C105" s="901"/>
      <c r="D105" s="901"/>
      <c r="E105" s="901"/>
      <c r="F105" s="901"/>
      <c r="G105" s="901"/>
      <c r="H105" s="901"/>
      <c r="I105" s="901"/>
      <c r="J105" s="901"/>
      <c r="K105" s="901"/>
      <c r="L105" s="182"/>
    </row>
    <row r="106" spans="1:12" ht="1.9" customHeight="1">
      <c r="A106" s="638"/>
      <c r="B106" s="901"/>
      <c r="C106" s="901"/>
      <c r="D106" s="901"/>
      <c r="E106" s="901"/>
      <c r="F106" s="901"/>
      <c r="G106" s="901"/>
      <c r="H106" s="901"/>
      <c r="I106" s="901"/>
      <c r="J106" s="901"/>
      <c r="K106" s="901"/>
      <c r="L106" s="182"/>
    </row>
    <row r="107" spans="1:12">
      <c r="A107" s="638"/>
      <c r="B107" s="635"/>
      <c r="C107" s="635"/>
      <c r="D107" s="649"/>
      <c r="E107" s="635"/>
      <c r="F107" s="650"/>
      <c r="G107" s="638"/>
      <c r="H107" s="682"/>
      <c r="I107" s="682"/>
      <c r="J107" s="635"/>
      <c r="K107" s="649"/>
      <c r="L107" s="182"/>
    </row>
    <row r="108" spans="1:12">
      <c r="A108" s="638"/>
      <c r="B108" s="634" t="s">
        <v>194</v>
      </c>
      <c r="C108" s="634" t="s">
        <v>195</v>
      </c>
      <c r="D108" s="634" t="s">
        <v>229</v>
      </c>
      <c r="E108" s="635"/>
      <c r="F108" s="650"/>
      <c r="G108" s="638"/>
      <c r="H108" s="682"/>
      <c r="I108" s="682"/>
      <c r="J108" s="635"/>
      <c r="K108" s="649"/>
      <c r="L108" s="182"/>
    </row>
    <row r="109" spans="1:12">
      <c r="A109" s="638"/>
      <c r="B109" s="522">
        <f>B88</f>
        <v>16.100000000000001</v>
      </c>
      <c r="C109" s="522">
        <f>C88</f>
        <v>2</v>
      </c>
      <c r="D109" s="727">
        <f>B109*C109</f>
        <v>32.200000000000003</v>
      </c>
      <c r="E109" s="635"/>
      <c r="F109" s="650"/>
      <c r="G109" s="638"/>
      <c r="H109" s="682"/>
      <c r="I109" s="682"/>
      <c r="J109" s="635"/>
      <c r="K109" s="649"/>
      <c r="L109" s="182"/>
    </row>
    <row r="110" spans="1:12">
      <c r="A110" s="638"/>
      <c r="B110" s="522">
        <f>B89</f>
        <v>6.3</v>
      </c>
      <c r="C110" s="522">
        <f>C89</f>
        <v>2</v>
      </c>
      <c r="D110" s="727">
        <f>B110*C110</f>
        <v>12.6</v>
      </c>
      <c r="E110" s="635"/>
      <c r="F110" s="650"/>
      <c r="G110" s="638"/>
      <c r="H110" s="682"/>
      <c r="I110" s="682"/>
      <c r="J110" s="635"/>
      <c r="K110" s="649"/>
      <c r="L110" s="182"/>
    </row>
    <row r="111" spans="1:12">
      <c r="A111" s="638"/>
      <c r="B111" s="635"/>
      <c r="C111" s="635"/>
      <c r="D111" s="723">
        <f>SUM(D109:D110)</f>
        <v>44.800000000000004</v>
      </c>
      <c r="E111" s="722" t="s">
        <v>187</v>
      </c>
      <c r="F111" s="650"/>
      <c r="G111" s="638"/>
      <c r="H111" s="682"/>
      <c r="I111" s="682"/>
      <c r="J111" s="635"/>
      <c r="K111" s="649"/>
      <c r="L111" s="182"/>
    </row>
    <row r="112" spans="1:12">
      <c r="A112" s="638"/>
      <c r="B112" s="635"/>
      <c r="C112" s="635"/>
      <c r="D112" s="641"/>
      <c r="E112" s="642"/>
      <c r="F112" s="650"/>
      <c r="G112" s="638"/>
      <c r="H112" s="682"/>
      <c r="I112" s="682"/>
      <c r="J112" s="635"/>
      <c r="K112" s="649"/>
      <c r="L112" s="182"/>
    </row>
    <row r="113" spans="1:12">
      <c r="A113" s="525" t="s">
        <v>412</v>
      </c>
      <c r="B113" s="865" t="s">
        <v>411</v>
      </c>
      <c r="C113" s="865"/>
      <c r="D113" s="865"/>
      <c r="E113" s="865"/>
      <c r="F113" s="865"/>
      <c r="G113" s="865"/>
      <c r="H113" s="865"/>
      <c r="I113" s="865"/>
      <c r="J113" s="865"/>
      <c r="K113" s="865"/>
      <c r="L113" s="182"/>
    </row>
    <row r="114" spans="1:12">
      <c r="A114" s="638"/>
      <c r="B114" s="865"/>
      <c r="C114" s="865"/>
      <c r="D114" s="865"/>
      <c r="E114" s="865"/>
      <c r="F114" s="865"/>
      <c r="G114" s="865"/>
      <c r="H114" s="865"/>
      <c r="I114" s="865"/>
      <c r="J114" s="865"/>
      <c r="K114" s="865"/>
      <c r="L114" s="182"/>
    </row>
    <row r="115" spans="1:12">
      <c r="A115" s="638"/>
      <c r="B115" s="634" t="s">
        <v>194</v>
      </c>
      <c r="C115" s="634" t="s">
        <v>461</v>
      </c>
      <c r="D115" s="634" t="s">
        <v>195</v>
      </c>
      <c r="E115" s="634" t="s">
        <v>462</v>
      </c>
      <c r="F115" s="635"/>
      <c r="G115" s="638"/>
      <c r="H115" s="682"/>
      <c r="I115" s="682"/>
      <c r="J115" s="635"/>
      <c r="K115" s="649"/>
      <c r="L115" s="182"/>
    </row>
    <row r="116" spans="1:12">
      <c r="A116" s="638"/>
      <c r="B116" s="522">
        <f>3.7</f>
        <v>3.7</v>
      </c>
      <c r="C116" s="522">
        <v>6.85</v>
      </c>
      <c r="D116" s="522">
        <v>1</v>
      </c>
      <c r="E116" s="727">
        <f>B116*C116*D116</f>
        <v>25.344999999999999</v>
      </c>
      <c r="F116" s="635"/>
      <c r="G116" s="638"/>
      <c r="H116" s="682"/>
      <c r="I116" s="682"/>
      <c r="J116" s="635"/>
      <c r="K116" s="649"/>
      <c r="L116" s="182"/>
    </row>
    <row r="117" spans="1:12">
      <c r="A117" s="638"/>
      <c r="B117" s="522">
        <v>5.45</v>
      </c>
      <c r="C117" s="522">
        <v>1.25</v>
      </c>
      <c r="D117" s="522">
        <v>1</v>
      </c>
      <c r="E117" s="727">
        <f>B117*C117*D117</f>
        <v>6.8125</v>
      </c>
      <c r="F117" s="635"/>
      <c r="G117" s="638"/>
      <c r="H117" s="682"/>
      <c r="I117" s="682"/>
      <c r="J117" s="635"/>
      <c r="K117" s="649"/>
      <c r="L117" s="182"/>
    </row>
    <row r="118" spans="1:12">
      <c r="A118" s="638"/>
      <c r="B118" s="522">
        <v>6.2</v>
      </c>
      <c r="C118" s="522">
        <v>1.3</v>
      </c>
      <c r="D118" s="522">
        <v>1</v>
      </c>
      <c r="E118" s="727">
        <f>B118*C118*D118</f>
        <v>8.06</v>
      </c>
      <c r="F118" s="635"/>
      <c r="G118" s="638"/>
      <c r="H118" s="682"/>
      <c r="I118" s="682"/>
      <c r="J118" s="635"/>
      <c r="K118" s="649"/>
      <c r="L118" s="182"/>
    </row>
    <row r="119" spans="1:12">
      <c r="A119" s="638"/>
      <c r="B119" s="635"/>
      <c r="C119" s="635"/>
      <c r="E119" s="723">
        <f>SUM(E116:E118)</f>
        <v>40.217500000000001</v>
      </c>
      <c r="F119" s="722" t="s">
        <v>72</v>
      </c>
      <c r="G119" s="638"/>
      <c r="H119" s="682"/>
      <c r="I119" s="682"/>
      <c r="J119" s="635"/>
      <c r="K119" s="649"/>
      <c r="L119" s="182"/>
    </row>
    <row r="120" spans="1:12">
      <c r="A120" s="638"/>
      <c r="B120" s="635"/>
      <c r="C120" s="635"/>
      <c r="D120" s="641"/>
      <c r="E120" s="642"/>
      <c r="F120" s="650"/>
      <c r="G120" s="638"/>
      <c r="H120" s="682"/>
      <c r="I120" s="682"/>
      <c r="J120" s="635"/>
      <c r="K120" s="649"/>
      <c r="L120" s="182"/>
    </row>
    <row r="121" spans="1:12">
      <c r="A121" s="638"/>
      <c r="B121" s="635"/>
      <c r="C121" s="635"/>
      <c r="D121" s="641"/>
      <c r="E121" s="642"/>
      <c r="F121" s="650"/>
      <c r="G121" s="638"/>
      <c r="H121" s="682"/>
      <c r="I121" s="682"/>
      <c r="J121" s="635"/>
      <c r="K121" s="649"/>
      <c r="L121" s="182"/>
    </row>
    <row r="122" spans="1:12">
      <c r="A122" s="525" t="s">
        <v>413</v>
      </c>
      <c r="B122" s="865" t="s">
        <v>409</v>
      </c>
      <c r="C122" s="865"/>
      <c r="D122" s="865"/>
      <c r="E122" s="865"/>
      <c r="F122" s="865"/>
      <c r="G122" s="865"/>
      <c r="H122" s="865"/>
      <c r="I122" s="865"/>
      <c r="J122" s="865"/>
      <c r="K122" s="865"/>
      <c r="L122" s="182"/>
    </row>
    <row r="123" spans="1:12">
      <c r="A123" s="638"/>
      <c r="B123" s="655"/>
      <c r="C123" s="656"/>
      <c r="D123" s="657"/>
      <c r="E123" s="656"/>
      <c r="F123" s="638"/>
      <c r="G123" s="638"/>
      <c r="H123" s="625"/>
      <c r="I123" s="625"/>
      <c r="J123" s="625"/>
      <c r="K123" s="625"/>
      <c r="L123" s="182"/>
    </row>
    <row r="124" spans="1:12">
      <c r="A124" s="638"/>
      <c r="B124" s="634" t="s">
        <v>194</v>
      </c>
      <c r="C124" s="634" t="s">
        <v>193</v>
      </c>
      <c r="D124" s="634" t="s">
        <v>225</v>
      </c>
      <c r="E124" s="634" t="s">
        <v>224</v>
      </c>
      <c r="F124" s="524"/>
      <c r="G124" s="638"/>
      <c r="H124" s="625"/>
      <c r="I124" s="625"/>
      <c r="J124" s="625"/>
      <c r="K124" s="625"/>
      <c r="L124" s="182"/>
    </row>
    <row r="125" spans="1:12">
      <c r="A125" s="638"/>
      <c r="B125" s="522">
        <f>16.1+1</f>
        <v>17.100000000000001</v>
      </c>
      <c r="C125" s="522">
        <f>6.3+1</f>
        <v>7.3</v>
      </c>
      <c r="D125" s="658">
        <v>0.15</v>
      </c>
      <c r="E125" s="725">
        <f>(B125*C125)+(B125*C125*D125)</f>
        <v>143.55450000000002</v>
      </c>
      <c r="F125" s="524"/>
      <c r="G125" s="638"/>
      <c r="H125" s="625"/>
      <c r="I125" s="625"/>
      <c r="J125" s="625"/>
      <c r="K125" s="625"/>
      <c r="L125" s="182"/>
    </row>
    <row r="126" spans="1:12">
      <c r="A126" s="525"/>
      <c r="B126" s="637"/>
      <c r="C126" s="637"/>
      <c r="D126" s="625"/>
      <c r="E126" s="723">
        <f>SUM(E125:E125)</f>
        <v>143.55450000000002</v>
      </c>
      <c r="F126" s="722" t="s">
        <v>184</v>
      </c>
      <c r="G126" s="659"/>
      <c r="H126" s="631"/>
      <c r="I126" s="631"/>
      <c r="J126" s="625"/>
      <c r="K126" s="625"/>
      <c r="L126" s="182"/>
    </row>
    <row r="127" spans="1:12">
      <c r="A127" s="638"/>
      <c r="B127" s="635"/>
      <c r="C127" s="635"/>
      <c r="D127" s="641"/>
      <c r="E127" s="642"/>
      <c r="F127" s="650"/>
      <c r="G127" s="638"/>
      <c r="H127" s="682"/>
      <c r="I127" s="682"/>
      <c r="J127" s="635"/>
      <c r="K127" s="649"/>
      <c r="L127" s="182"/>
    </row>
    <row r="128" spans="1:12">
      <c r="A128" s="638"/>
      <c r="B128" s="635"/>
      <c r="C128" s="635"/>
      <c r="D128" s="641"/>
      <c r="E128" s="642"/>
      <c r="F128" s="650"/>
      <c r="G128" s="638"/>
      <c r="H128" s="682"/>
      <c r="I128" s="682"/>
      <c r="J128" s="635"/>
      <c r="K128" s="649"/>
      <c r="L128" s="182"/>
    </row>
    <row r="129" spans="1:12">
      <c r="A129" s="525" t="s">
        <v>414</v>
      </c>
      <c r="B129" s="865" t="s">
        <v>406</v>
      </c>
      <c r="C129" s="865"/>
      <c r="D129" s="865"/>
      <c r="E129" s="865"/>
      <c r="F129" s="865"/>
      <c r="G129" s="865"/>
      <c r="H129" s="865"/>
      <c r="I129" s="865"/>
      <c r="J129" s="865"/>
      <c r="K129" s="865"/>
      <c r="L129" s="182"/>
    </row>
    <row r="130" spans="1:12">
      <c r="A130" s="638"/>
      <c r="B130" s="865"/>
      <c r="C130" s="865"/>
      <c r="D130" s="865"/>
      <c r="E130" s="865"/>
      <c r="F130" s="865"/>
      <c r="G130" s="865"/>
      <c r="H130" s="865"/>
      <c r="I130" s="865"/>
      <c r="J130" s="865"/>
      <c r="K130" s="865"/>
      <c r="L130" s="182"/>
    </row>
    <row r="131" spans="1:12">
      <c r="A131" s="638"/>
      <c r="B131" s="634" t="s">
        <v>194</v>
      </c>
      <c r="C131" s="634" t="s">
        <v>193</v>
      </c>
      <c r="D131" s="634" t="s">
        <v>195</v>
      </c>
      <c r="E131" s="634" t="s">
        <v>462</v>
      </c>
      <c r="F131" s="635"/>
      <c r="G131" s="638"/>
      <c r="H131" s="682"/>
      <c r="I131" s="682"/>
      <c r="J131" s="635"/>
      <c r="K131" s="649"/>
      <c r="L131" s="182"/>
    </row>
    <row r="132" spans="1:12">
      <c r="A132" s="638"/>
      <c r="B132" s="522">
        <f>3.7</f>
        <v>3.7</v>
      </c>
      <c r="C132" s="522">
        <v>6.85</v>
      </c>
      <c r="D132" s="522">
        <v>1</v>
      </c>
      <c r="E132" s="727">
        <f>B132*C132*D132</f>
        <v>25.344999999999999</v>
      </c>
      <c r="F132" s="635"/>
      <c r="G132" s="638"/>
      <c r="H132" s="682"/>
      <c r="I132" s="682"/>
      <c r="J132" s="635"/>
      <c r="K132" s="649"/>
      <c r="L132" s="182"/>
    </row>
    <row r="133" spans="1:12">
      <c r="A133" s="638"/>
      <c r="B133" s="522">
        <v>5.45</v>
      </c>
      <c r="C133" s="522">
        <v>1.25</v>
      </c>
      <c r="D133" s="522">
        <v>1</v>
      </c>
      <c r="E133" s="727">
        <f>B133*C133*D133</f>
        <v>6.8125</v>
      </c>
      <c r="F133" s="635"/>
      <c r="G133" s="638"/>
      <c r="H133" s="682"/>
      <c r="I133" s="682"/>
      <c r="J133" s="635"/>
      <c r="K133" s="649"/>
      <c r="L133" s="182"/>
    </row>
    <row r="134" spans="1:12">
      <c r="A134" s="638"/>
      <c r="B134" s="522">
        <v>6.2</v>
      </c>
      <c r="C134" s="522">
        <v>1.3</v>
      </c>
      <c r="D134" s="522">
        <v>1</v>
      </c>
      <c r="E134" s="727">
        <f>B134*C134*D134</f>
        <v>8.06</v>
      </c>
      <c r="F134" s="635"/>
      <c r="G134" s="638"/>
      <c r="H134" s="682"/>
      <c r="I134" s="682"/>
      <c r="J134" s="635"/>
      <c r="K134" s="649"/>
      <c r="L134" s="182"/>
    </row>
    <row r="135" spans="1:12">
      <c r="A135" s="638"/>
      <c r="B135" s="635"/>
      <c r="C135" s="635"/>
      <c r="E135" s="723">
        <f>SUM(E132:E134)</f>
        <v>40.217500000000001</v>
      </c>
      <c r="F135" s="722" t="s">
        <v>72</v>
      </c>
      <c r="G135" s="638"/>
      <c r="H135" s="682"/>
      <c r="I135" s="682"/>
      <c r="J135" s="635"/>
      <c r="K135" s="649"/>
      <c r="L135" s="182"/>
    </row>
    <row r="136" spans="1:12">
      <c r="A136" s="638"/>
      <c r="B136" s="635"/>
      <c r="C136" s="635"/>
      <c r="D136" s="641"/>
      <c r="E136" s="642"/>
      <c r="F136" s="650"/>
      <c r="G136" s="638"/>
      <c r="H136" s="682"/>
      <c r="I136" s="682"/>
      <c r="J136" s="635"/>
      <c r="K136" s="649"/>
      <c r="L136" s="182"/>
    </row>
    <row r="137" spans="1:12">
      <c r="A137" s="525" t="s">
        <v>446</v>
      </c>
      <c r="B137" s="865" t="s">
        <v>447</v>
      </c>
      <c r="C137" s="865"/>
      <c r="D137" s="865"/>
      <c r="E137" s="865"/>
      <c r="F137" s="865"/>
      <c r="G137" s="865"/>
      <c r="H137" s="865"/>
      <c r="I137" s="865"/>
      <c r="J137" s="865"/>
      <c r="K137" s="865"/>
      <c r="L137" s="182"/>
    </row>
    <row r="138" spans="1:12">
      <c r="A138" s="638"/>
      <c r="B138" s="865"/>
      <c r="C138" s="865"/>
      <c r="D138" s="865"/>
      <c r="E138" s="865"/>
      <c r="F138" s="865"/>
      <c r="G138" s="865"/>
      <c r="H138" s="865"/>
      <c r="I138" s="865"/>
      <c r="J138" s="865"/>
      <c r="K138" s="865"/>
      <c r="L138" s="182"/>
    </row>
    <row r="139" spans="1:12">
      <c r="A139" s="638"/>
      <c r="B139" s="634" t="s">
        <v>194</v>
      </c>
      <c r="C139" s="634" t="s">
        <v>195</v>
      </c>
      <c r="D139" s="634" t="s">
        <v>229</v>
      </c>
      <c r="E139" s="635"/>
      <c r="G139" s="638"/>
      <c r="H139" s="682"/>
      <c r="I139" s="682"/>
      <c r="J139" s="635"/>
      <c r="K139" s="649"/>
      <c r="L139" s="182"/>
    </row>
    <row r="140" spans="1:12">
      <c r="A140" s="638"/>
      <c r="B140" s="522">
        <f>3.7</f>
        <v>3.7</v>
      </c>
      <c r="C140" s="522">
        <v>1</v>
      </c>
      <c r="D140" s="727">
        <f>B140*C140</f>
        <v>3.7</v>
      </c>
      <c r="E140" s="635"/>
      <c r="G140" s="638"/>
      <c r="H140" s="682"/>
      <c r="I140" s="682"/>
      <c r="J140" s="635"/>
      <c r="K140" s="649"/>
      <c r="L140" s="182"/>
    </row>
    <row r="141" spans="1:12">
      <c r="A141" s="638"/>
      <c r="B141" s="522">
        <v>2.4500000000000002</v>
      </c>
      <c r="C141" s="522">
        <v>1</v>
      </c>
      <c r="D141" s="727">
        <f t="shared" ref="D141:D147" si="2">B141*C141</f>
        <v>2.4500000000000002</v>
      </c>
      <c r="E141" s="635"/>
      <c r="G141" s="638"/>
      <c r="H141" s="682"/>
      <c r="I141" s="682"/>
      <c r="J141" s="635"/>
      <c r="K141" s="649"/>
      <c r="L141" s="182"/>
    </row>
    <row r="142" spans="1:12">
      <c r="A142" s="638"/>
      <c r="B142" s="522">
        <v>6.85</v>
      </c>
      <c r="C142" s="522">
        <v>2</v>
      </c>
      <c r="D142" s="727">
        <f t="shared" si="2"/>
        <v>13.7</v>
      </c>
      <c r="E142" s="635"/>
      <c r="G142" s="638"/>
      <c r="H142" s="682"/>
      <c r="I142" s="682"/>
      <c r="J142" s="635"/>
      <c r="K142" s="649"/>
      <c r="L142" s="182"/>
    </row>
    <row r="143" spans="1:12">
      <c r="A143" s="638"/>
      <c r="B143" s="522">
        <v>6.75</v>
      </c>
      <c r="C143" s="522">
        <v>1</v>
      </c>
      <c r="D143" s="727">
        <f t="shared" si="2"/>
        <v>6.75</v>
      </c>
      <c r="E143" s="635"/>
      <c r="G143" s="638"/>
      <c r="H143" s="682"/>
      <c r="I143" s="682"/>
      <c r="J143" s="635"/>
      <c r="K143" s="649"/>
      <c r="L143" s="182"/>
    </row>
    <row r="144" spans="1:12">
      <c r="A144" s="638"/>
      <c r="B144" s="522">
        <v>5.45</v>
      </c>
      <c r="C144" s="522">
        <v>1</v>
      </c>
      <c r="D144" s="727">
        <f t="shared" si="2"/>
        <v>5.45</v>
      </c>
      <c r="E144" s="635"/>
      <c r="G144" s="638"/>
      <c r="H144" s="682"/>
      <c r="I144" s="682"/>
      <c r="J144" s="635"/>
      <c r="K144" s="649"/>
      <c r="L144" s="182"/>
    </row>
    <row r="145" spans="1:14">
      <c r="A145" s="638"/>
      <c r="B145" s="522">
        <v>6.2</v>
      </c>
      <c r="C145" s="522">
        <v>1</v>
      </c>
      <c r="D145" s="727">
        <f t="shared" si="2"/>
        <v>6.2</v>
      </c>
      <c r="E145" s="635"/>
      <c r="G145" s="638"/>
      <c r="H145" s="682"/>
      <c r="I145" s="682"/>
      <c r="J145" s="635"/>
      <c r="K145" s="649"/>
      <c r="L145" s="182"/>
    </row>
    <row r="146" spans="1:14">
      <c r="A146" s="638"/>
      <c r="B146" s="522">
        <v>4.95</v>
      </c>
      <c r="C146" s="522">
        <v>1</v>
      </c>
      <c r="D146" s="727">
        <f t="shared" si="2"/>
        <v>4.95</v>
      </c>
      <c r="E146" s="635"/>
      <c r="G146" s="638"/>
      <c r="H146" s="682"/>
      <c r="I146" s="682"/>
      <c r="J146" s="635"/>
      <c r="K146" s="649"/>
      <c r="L146" s="182"/>
    </row>
    <row r="147" spans="1:14">
      <c r="A147" s="638"/>
      <c r="B147" s="522">
        <v>1.3</v>
      </c>
      <c r="C147" s="522">
        <v>1</v>
      </c>
      <c r="D147" s="727">
        <f t="shared" si="2"/>
        <v>1.3</v>
      </c>
      <c r="E147" s="635"/>
      <c r="G147" s="638"/>
      <c r="H147" s="682"/>
      <c r="I147" s="682"/>
      <c r="J147" s="635"/>
      <c r="K147" s="649"/>
      <c r="L147" s="182"/>
    </row>
    <row r="148" spans="1:14">
      <c r="A148" s="638"/>
      <c r="B148" s="635"/>
      <c r="C148" s="635"/>
      <c r="D148" s="723">
        <f>SUM(D140:D147)</f>
        <v>44.500000000000007</v>
      </c>
      <c r="E148" s="722" t="s">
        <v>187</v>
      </c>
      <c r="G148" s="638"/>
      <c r="H148" s="682"/>
      <c r="I148" s="682"/>
      <c r="J148" s="635"/>
      <c r="K148" s="649"/>
      <c r="L148" s="182"/>
    </row>
    <row r="149" spans="1:14">
      <c r="A149" s="638"/>
      <c r="B149" s="635"/>
      <c r="C149" s="635"/>
      <c r="E149" s="734"/>
      <c r="F149" s="184"/>
      <c r="G149" s="638"/>
      <c r="H149" s="682"/>
      <c r="I149" s="682"/>
      <c r="J149" s="635"/>
      <c r="K149" s="649"/>
      <c r="L149" s="182"/>
    </row>
    <row r="150" spans="1:14">
      <c r="A150" s="627">
        <v>6</v>
      </c>
      <c r="B150" s="630" t="s">
        <v>415</v>
      </c>
      <c r="C150" s="655"/>
      <c r="D150" s="655"/>
      <c r="E150" s="655"/>
      <c r="F150" s="638"/>
      <c r="G150" s="638"/>
      <c r="H150" s="625"/>
      <c r="I150" s="625"/>
      <c r="J150" s="625"/>
      <c r="K150" s="631"/>
      <c r="L150" s="168"/>
      <c r="M150" s="169"/>
      <c r="N150" s="168"/>
    </row>
    <row r="151" spans="1:14">
      <c r="A151" s="638"/>
      <c r="B151" s="655"/>
      <c r="C151" s="656"/>
      <c r="D151" s="655"/>
      <c r="E151" s="656"/>
      <c r="F151" s="638"/>
      <c r="G151" s="638"/>
      <c r="H151" s="625"/>
      <c r="I151" s="625"/>
      <c r="J151" s="625"/>
      <c r="K151" s="631"/>
      <c r="L151" s="168"/>
      <c r="M151" s="168"/>
      <c r="N151" s="168"/>
    </row>
    <row r="152" spans="1:14" ht="14.45" customHeight="1">
      <c r="A152" s="525" t="s">
        <v>166</v>
      </c>
      <c r="B152" s="901" t="s">
        <v>417</v>
      </c>
      <c r="C152" s="901"/>
      <c r="D152" s="901"/>
      <c r="E152" s="901"/>
      <c r="F152" s="901"/>
      <c r="G152" s="901"/>
      <c r="H152" s="901"/>
      <c r="I152" s="901"/>
      <c r="J152" s="901"/>
      <c r="K152" s="761"/>
      <c r="L152" s="168"/>
      <c r="M152" s="169"/>
    </row>
    <row r="153" spans="1:14" ht="31.15" customHeight="1">
      <c r="A153" s="525"/>
      <c r="B153" s="901"/>
      <c r="C153" s="901"/>
      <c r="D153" s="901"/>
      <c r="E153" s="901"/>
      <c r="F153" s="901"/>
      <c r="G153" s="901"/>
      <c r="H153" s="901"/>
      <c r="I153" s="901"/>
      <c r="J153" s="901"/>
      <c r="K153" s="761"/>
      <c r="L153" s="168"/>
      <c r="M153" s="169"/>
    </row>
    <row r="154" spans="1:14">
      <c r="A154" s="638"/>
      <c r="B154" s="655"/>
      <c r="C154" s="656"/>
      <c r="D154" s="657"/>
      <c r="E154" s="656"/>
      <c r="F154" s="638"/>
      <c r="G154" s="638"/>
      <c r="H154" s="625"/>
      <c r="I154" s="625"/>
      <c r="J154" s="625"/>
      <c r="K154" s="625"/>
      <c r="L154" s="168"/>
      <c r="M154" s="169"/>
    </row>
    <row r="155" spans="1:14">
      <c r="A155" s="638"/>
      <c r="B155" s="634" t="s">
        <v>463</v>
      </c>
      <c r="C155" s="634" t="s">
        <v>195</v>
      </c>
      <c r="D155" s="524"/>
      <c r="E155" s="524"/>
      <c r="F155" s="524"/>
      <c r="G155" s="638"/>
      <c r="H155" s="625"/>
      <c r="I155" s="625"/>
      <c r="J155" s="625"/>
      <c r="K155" s="625"/>
      <c r="L155" s="168"/>
      <c r="M155" s="169"/>
    </row>
    <row r="156" spans="1:14">
      <c r="A156" s="638"/>
      <c r="B156" s="522" t="s">
        <v>464</v>
      </c>
      <c r="C156" s="522">
        <v>4</v>
      </c>
      <c r="D156" s="656"/>
      <c r="E156" s="637"/>
      <c r="F156" s="524"/>
      <c r="G156" s="638"/>
      <c r="H156" s="625"/>
      <c r="I156" s="625"/>
      <c r="J156" s="625"/>
      <c r="K156" s="625"/>
      <c r="L156" s="168"/>
      <c r="M156" s="169"/>
      <c r="N156" s="168"/>
    </row>
    <row r="157" spans="1:14">
      <c r="A157" s="638"/>
      <c r="B157" s="522" t="s">
        <v>372</v>
      </c>
      <c r="C157" s="522">
        <v>3</v>
      </c>
      <c r="D157" s="18"/>
      <c r="E157" s="734"/>
      <c r="F157" s="184"/>
      <c r="G157" s="638"/>
      <c r="H157" s="682"/>
      <c r="I157" s="682"/>
      <c r="J157" s="635"/>
      <c r="K157" s="649"/>
      <c r="L157" s="182"/>
    </row>
    <row r="158" spans="1:14">
      <c r="A158" s="638"/>
      <c r="B158" s="635"/>
      <c r="C158" s="723">
        <f>SUM(C156:C157)</f>
        <v>7</v>
      </c>
      <c r="D158" s="722" t="s">
        <v>78</v>
      </c>
      <c r="E158" s="734"/>
      <c r="F158" s="184"/>
      <c r="G158" s="638"/>
      <c r="H158" s="682"/>
      <c r="I158" s="682"/>
      <c r="J158" s="635"/>
      <c r="K158" s="649"/>
      <c r="L158" s="182"/>
    </row>
    <row r="159" spans="1:14">
      <c r="A159" s="638"/>
      <c r="B159" s="635"/>
      <c r="C159" s="635"/>
      <c r="E159" s="734"/>
      <c r="F159" s="184"/>
      <c r="G159" s="638"/>
      <c r="H159" s="682"/>
      <c r="I159" s="682"/>
      <c r="J159" s="635"/>
      <c r="K159" s="649"/>
      <c r="L159" s="182"/>
    </row>
    <row r="160" spans="1:14">
      <c r="A160" s="525" t="s">
        <v>167</v>
      </c>
      <c r="B160" s="865" t="s">
        <v>419</v>
      </c>
      <c r="C160" s="865"/>
      <c r="D160" s="865"/>
      <c r="E160" s="865"/>
      <c r="F160" s="865"/>
      <c r="G160" s="865"/>
      <c r="H160" s="865"/>
      <c r="I160" s="865"/>
      <c r="J160" s="865"/>
      <c r="K160" s="865"/>
      <c r="L160" s="182"/>
    </row>
    <row r="161" spans="1:12">
      <c r="A161" s="525"/>
      <c r="B161" s="865"/>
      <c r="C161" s="865"/>
      <c r="D161" s="865"/>
      <c r="E161" s="865"/>
      <c r="F161" s="865"/>
      <c r="G161" s="865"/>
      <c r="H161" s="865"/>
      <c r="I161" s="865"/>
      <c r="J161" s="865"/>
      <c r="K161" s="865"/>
      <c r="L161" s="182"/>
    </row>
    <row r="162" spans="1:12">
      <c r="A162" s="638"/>
      <c r="B162" s="634" t="s">
        <v>463</v>
      </c>
      <c r="C162" s="634" t="s">
        <v>195</v>
      </c>
      <c r="D162" s="524"/>
      <c r="E162" s="734"/>
      <c r="F162" s="184"/>
      <c r="G162" s="638"/>
      <c r="H162" s="682"/>
      <c r="I162" s="682"/>
      <c r="J162" s="635"/>
      <c r="K162" s="649"/>
      <c r="L162" s="182"/>
    </row>
    <row r="163" spans="1:12">
      <c r="A163" s="638"/>
      <c r="B163" s="522" t="s">
        <v>464</v>
      </c>
      <c r="C163" s="522">
        <f>C156</f>
        <v>4</v>
      </c>
      <c r="D163" s="656"/>
      <c r="E163" s="734"/>
      <c r="F163" s="184"/>
      <c r="G163" s="638"/>
      <c r="H163" s="682"/>
      <c r="I163" s="682"/>
      <c r="J163" s="635"/>
      <c r="K163" s="649"/>
      <c r="L163" s="182"/>
    </row>
    <row r="164" spans="1:12">
      <c r="A164" s="638"/>
      <c r="B164" s="522" t="s">
        <v>372</v>
      </c>
      <c r="C164" s="522">
        <f>C157</f>
        <v>3</v>
      </c>
      <c r="D164" s="18"/>
      <c r="E164" s="734"/>
      <c r="F164" s="184"/>
      <c r="G164" s="638"/>
      <c r="H164" s="682"/>
      <c r="I164" s="682"/>
      <c r="J164" s="635"/>
      <c r="K164" s="649"/>
      <c r="L164" s="182"/>
    </row>
    <row r="165" spans="1:12">
      <c r="A165" s="638"/>
      <c r="B165" s="635"/>
      <c r="C165" s="723">
        <f>SUM(C163:C164)</f>
        <v>7</v>
      </c>
      <c r="D165" s="722" t="s">
        <v>78</v>
      </c>
      <c r="E165" s="734"/>
      <c r="F165" s="184"/>
      <c r="G165" s="638"/>
      <c r="H165" s="682"/>
      <c r="I165" s="682"/>
      <c r="J165" s="635"/>
      <c r="K165" s="649"/>
      <c r="L165" s="182"/>
    </row>
    <row r="166" spans="1:12">
      <c r="A166" s="638"/>
      <c r="B166" s="635"/>
      <c r="C166" s="635"/>
      <c r="E166" s="734"/>
      <c r="F166" s="184"/>
      <c r="G166" s="638"/>
      <c r="H166" s="682"/>
      <c r="I166" s="682"/>
      <c r="J166" s="635"/>
      <c r="K166" s="649"/>
      <c r="L166" s="182"/>
    </row>
    <row r="167" spans="1:12">
      <c r="A167" s="627">
        <v>7</v>
      </c>
      <c r="B167" s="630" t="str">
        <f>PLANILHA!C34</f>
        <v xml:space="preserve">PINTURA </v>
      </c>
      <c r="C167" s="524"/>
      <c r="D167" s="635"/>
      <c r="E167" s="635"/>
      <c r="F167" s="653"/>
      <c r="G167" s="650"/>
      <c r="H167" s="667"/>
      <c r="I167" s="667"/>
      <c r="J167" s="625"/>
      <c r="K167" s="625"/>
    </row>
    <row r="168" spans="1:12">
      <c r="A168" s="627"/>
      <c r="B168" s="630"/>
      <c r="C168" s="524"/>
      <c r="D168" s="635"/>
      <c r="E168" s="635"/>
      <c r="F168" s="653"/>
      <c r="G168" s="650"/>
      <c r="H168" s="667"/>
      <c r="I168" s="667"/>
      <c r="J168" s="625"/>
      <c r="K168" s="625"/>
    </row>
    <row r="169" spans="1:12">
      <c r="A169" s="627" t="s">
        <v>452</v>
      </c>
      <c r="B169" s="901" t="s">
        <v>353</v>
      </c>
      <c r="C169" s="901"/>
      <c r="D169" s="901"/>
      <c r="E169" s="901"/>
      <c r="F169" s="901"/>
      <c r="G169" s="901"/>
      <c r="H169" s="901"/>
      <c r="I169" s="901"/>
      <c r="J169" s="901"/>
      <c r="K169" s="901"/>
    </row>
    <row r="170" spans="1:12" ht="4.1500000000000004" customHeight="1">
      <c r="A170" s="627"/>
      <c r="B170" s="901"/>
      <c r="C170" s="901"/>
      <c r="D170" s="901"/>
      <c r="E170" s="901"/>
      <c r="F170" s="901"/>
      <c r="G170" s="901"/>
      <c r="H170" s="901"/>
      <c r="I170" s="901"/>
      <c r="J170" s="901"/>
      <c r="K170" s="901"/>
    </row>
    <row r="171" spans="1:12">
      <c r="A171" s="627" t="s">
        <v>453</v>
      </c>
      <c r="B171" s="901" t="s">
        <v>323</v>
      </c>
      <c r="C171" s="901"/>
      <c r="D171" s="901"/>
      <c r="E171" s="901"/>
      <c r="F171" s="901"/>
      <c r="G171" s="901"/>
      <c r="H171" s="901"/>
      <c r="I171" s="901"/>
      <c r="J171" s="901"/>
      <c r="K171" s="901"/>
    </row>
    <row r="172" spans="1:12" ht="5.45" customHeight="1">
      <c r="A172" s="627"/>
      <c r="B172" s="901"/>
      <c r="C172" s="901"/>
      <c r="D172" s="901"/>
      <c r="E172" s="901"/>
      <c r="F172" s="901"/>
      <c r="G172" s="901"/>
      <c r="H172" s="901"/>
      <c r="I172" s="901"/>
      <c r="J172" s="901"/>
      <c r="K172" s="901"/>
    </row>
    <row r="173" spans="1:12">
      <c r="A173" s="627" t="s">
        <v>454</v>
      </c>
      <c r="B173" s="901" t="s">
        <v>402</v>
      </c>
      <c r="C173" s="901"/>
      <c r="D173" s="901"/>
      <c r="E173" s="901"/>
      <c r="F173" s="901"/>
      <c r="G173" s="901"/>
      <c r="H173" s="901"/>
      <c r="I173" s="901"/>
      <c r="J173" s="901"/>
      <c r="K173" s="901"/>
    </row>
    <row r="174" spans="1:12" ht="5.45" customHeight="1">
      <c r="A174" s="627"/>
      <c r="B174" s="901"/>
      <c r="C174" s="901"/>
      <c r="D174" s="901"/>
      <c r="E174" s="901"/>
      <c r="F174" s="901"/>
      <c r="G174" s="901"/>
      <c r="H174" s="901"/>
      <c r="I174" s="901"/>
      <c r="J174" s="901"/>
      <c r="K174" s="901"/>
    </row>
    <row r="175" spans="1:12">
      <c r="A175" s="627" t="s">
        <v>455</v>
      </c>
      <c r="B175" s="901" t="s">
        <v>356</v>
      </c>
      <c r="C175" s="901"/>
      <c r="D175" s="901"/>
      <c r="E175" s="901"/>
      <c r="F175" s="901"/>
      <c r="G175" s="901"/>
      <c r="H175" s="901"/>
      <c r="I175" s="901"/>
      <c r="J175" s="901"/>
      <c r="K175" s="901"/>
    </row>
    <row r="176" spans="1:12" ht="7.9" customHeight="1">
      <c r="A176" s="627"/>
      <c r="B176" s="901"/>
      <c r="C176" s="901"/>
      <c r="D176" s="901"/>
      <c r="E176" s="901"/>
      <c r="F176" s="901"/>
      <c r="G176" s="901"/>
      <c r="H176" s="901"/>
      <c r="I176" s="901"/>
      <c r="J176" s="901"/>
      <c r="K176" s="901"/>
    </row>
    <row r="177" spans="1:11" ht="13.15" customHeight="1">
      <c r="A177" s="627"/>
      <c r="B177" s="680"/>
      <c r="C177" s="680"/>
      <c r="D177" s="680"/>
      <c r="E177" s="680"/>
      <c r="F177" s="680"/>
      <c r="G177" s="680"/>
      <c r="H177" s="680"/>
      <c r="I177" s="680"/>
      <c r="J177" s="680"/>
      <c r="K177" s="680"/>
    </row>
    <row r="178" spans="1:11" ht="5.45" customHeight="1" thickBot="1">
      <c r="A178" s="668"/>
      <c r="B178" s="901"/>
      <c r="C178" s="901"/>
      <c r="D178" s="901"/>
      <c r="E178" s="901"/>
      <c r="F178" s="901"/>
      <c r="G178" s="901"/>
      <c r="H178" s="901"/>
      <c r="I178" s="901"/>
      <c r="J178" s="901"/>
      <c r="K178" s="901"/>
    </row>
    <row r="179" spans="1:11" ht="15.75" thickBot="1">
      <c r="A179" s="866" t="s">
        <v>391</v>
      </c>
      <c r="B179" s="867"/>
      <c r="C179" s="867"/>
      <c r="D179" s="868"/>
      <c r="E179" s="669"/>
      <c r="F179" s="669"/>
      <c r="G179" s="669"/>
      <c r="H179" s="669"/>
      <c r="I179" s="669"/>
      <c r="J179" s="670"/>
      <c r="K179" s="670"/>
    </row>
    <row r="180" spans="1:11" ht="51">
      <c r="A180" s="671" t="s">
        <v>149</v>
      </c>
      <c r="B180" s="672" t="s">
        <v>377</v>
      </c>
      <c r="C180" s="684" t="s">
        <v>378</v>
      </c>
      <c r="D180" s="672" t="s">
        <v>42</v>
      </c>
      <c r="E180" s="672" t="s">
        <v>48</v>
      </c>
      <c r="F180" s="906" t="s">
        <v>376</v>
      </c>
      <c r="G180" s="906"/>
      <c r="H180" s="684" t="s">
        <v>467</v>
      </c>
      <c r="I180" s="684" t="s">
        <v>383</v>
      </c>
      <c r="J180" s="673" t="s">
        <v>401</v>
      </c>
      <c r="K180" s="739"/>
    </row>
    <row r="181" spans="1:11">
      <c r="A181" s="884" t="s">
        <v>385</v>
      </c>
      <c r="B181" s="681">
        <v>6.5</v>
      </c>
      <c r="C181" s="877">
        <v>4.5</v>
      </c>
      <c r="D181" s="877">
        <v>1</v>
      </c>
      <c r="E181" s="674">
        <v>1</v>
      </c>
      <c r="F181" s="675" t="s">
        <v>398</v>
      </c>
      <c r="G181" s="675">
        <v>1</v>
      </c>
      <c r="H181" s="907">
        <f>((B181+B182+B183+B184)*C181*D181*E181)-((2.4*2.25*G181)+(3*1.7*G182)+(1.5*1.7*G183)+(0.7*1*G184)+(1*1*G185)+(0.9*2.1*G186))</f>
        <v>183.46</v>
      </c>
      <c r="I181" s="877">
        <v>0</v>
      </c>
      <c r="J181" s="871">
        <f>H181-I181</f>
        <v>183.46</v>
      </c>
      <c r="K181" s="869"/>
    </row>
    <row r="182" spans="1:11" ht="14.45" customHeight="1">
      <c r="A182" s="884"/>
      <c r="B182" s="676">
        <v>6.5</v>
      </c>
      <c r="C182" s="877"/>
      <c r="D182" s="877"/>
      <c r="E182" s="677">
        <v>1</v>
      </c>
      <c r="F182" s="678" t="s">
        <v>399</v>
      </c>
      <c r="G182" s="678">
        <v>1</v>
      </c>
      <c r="H182" s="877"/>
      <c r="I182" s="877"/>
      <c r="J182" s="871"/>
      <c r="K182" s="869"/>
    </row>
    <row r="183" spans="1:11">
      <c r="A183" s="884"/>
      <c r="B183" s="676">
        <v>16.3</v>
      </c>
      <c r="C183" s="877"/>
      <c r="D183" s="877"/>
      <c r="E183" s="677"/>
      <c r="F183" s="677" t="s">
        <v>400</v>
      </c>
      <c r="G183" s="677">
        <v>1</v>
      </c>
      <c r="H183" s="877"/>
      <c r="I183" s="877"/>
      <c r="J183" s="871"/>
      <c r="K183" s="869"/>
    </row>
    <row r="184" spans="1:11">
      <c r="A184" s="884"/>
      <c r="B184" s="676">
        <v>16.3</v>
      </c>
      <c r="C184" s="877"/>
      <c r="D184" s="877"/>
      <c r="E184" s="677"/>
      <c r="F184" s="678" t="s">
        <v>395</v>
      </c>
      <c r="G184" s="677">
        <v>4</v>
      </c>
      <c r="H184" s="877"/>
      <c r="I184" s="877"/>
      <c r="J184" s="871"/>
      <c r="K184" s="869"/>
    </row>
    <row r="185" spans="1:11">
      <c r="A185" s="884"/>
      <c r="B185" s="676">
        <v>0</v>
      </c>
      <c r="C185" s="877"/>
      <c r="D185" s="877"/>
      <c r="E185" s="677"/>
      <c r="F185" s="678" t="s">
        <v>394</v>
      </c>
      <c r="G185" s="677">
        <v>4</v>
      </c>
      <c r="H185" s="877"/>
      <c r="I185" s="877"/>
      <c r="J185" s="871"/>
      <c r="K185" s="869"/>
    </row>
    <row r="186" spans="1:11">
      <c r="A186" s="885"/>
      <c r="B186" s="676">
        <v>0</v>
      </c>
      <c r="C186" s="877"/>
      <c r="D186" s="877"/>
      <c r="E186" s="677"/>
      <c r="F186" s="678" t="s">
        <v>396</v>
      </c>
      <c r="G186" s="677">
        <v>1</v>
      </c>
      <c r="H186" s="889"/>
      <c r="I186" s="889"/>
      <c r="J186" s="890"/>
      <c r="K186" s="869"/>
    </row>
    <row r="187" spans="1:11">
      <c r="A187" s="873" t="s">
        <v>386</v>
      </c>
      <c r="B187" s="676">
        <v>13.7</v>
      </c>
      <c r="C187" s="876">
        <v>0.15</v>
      </c>
      <c r="D187" s="876">
        <v>2</v>
      </c>
      <c r="E187" s="677">
        <v>0</v>
      </c>
      <c r="F187" s="678">
        <v>0</v>
      </c>
      <c r="G187" s="736">
        <v>0</v>
      </c>
      <c r="H187" s="886">
        <f>((B187+B188)*C187*D187)</f>
        <v>5.1599999999999993</v>
      </c>
      <c r="I187" s="876">
        <v>0</v>
      </c>
      <c r="J187" s="870">
        <f>H187-I187</f>
        <v>5.1599999999999993</v>
      </c>
      <c r="K187" s="869"/>
    </row>
    <row r="188" spans="1:11">
      <c r="A188" s="874"/>
      <c r="B188" s="676">
        <f>4.3-0.8</f>
        <v>3.5</v>
      </c>
      <c r="C188" s="877"/>
      <c r="D188" s="877"/>
      <c r="E188" s="677">
        <v>0</v>
      </c>
      <c r="F188" s="678">
        <v>0</v>
      </c>
      <c r="G188" s="736">
        <v>0</v>
      </c>
      <c r="H188" s="887"/>
      <c r="I188" s="877"/>
      <c r="J188" s="871"/>
      <c r="K188" s="869"/>
    </row>
    <row r="189" spans="1:11">
      <c r="A189" s="883" t="s">
        <v>390</v>
      </c>
      <c r="B189" s="676">
        <v>3.7</v>
      </c>
      <c r="C189" s="876">
        <v>3.5</v>
      </c>
      <c r="D189" s="876">
        <v>1</v>
      </c>
      <c r="E189" s="677">
        <v>1</v>
      </c>
      <c r="F189" s="678" t="s">
        <v>398</v>
      </c>
      <c r="G189" s="736">
        <v>1</v>
      </c>
      <c r="H189" s="886">
        <f>((B189+B190+B191+B192)*C189*D189*E189)-((2.4*2.25*G189)+(3*1.7*G190)+(1.5*1.7*G191)+(0.8*2.1*G192)+(0.9*2.1*G193)+(1*1*G194))</f>
        <v>51.855000000000004</v>
      </c>
      <c r="I189" s="876">
        <f>H189</f>
        <v>51.855000000000004</v>
      </c>
      <c r="J189" s="870">
        <f>H189-I189</f>
        <v>0</v>
      </c>
      <c r="K189" s="869"/>
    </row>
    <row r="190" spans="1:11" ht="14.45" customHeight="1">
      <c r="A190" s="884"/>
      <c r="B190" s="676">
        <v>2.4500000000000002</v>
      </c>
      <c r="C190" s="877"/>
      <c r="D190" s="877"/>
      <c r="E190" s="677">
        <v>1</v>
      </c>
      <c r="F190" s="678" t="s">
        <v>399</v>
      </c>
      <c r="G190" s="736">
        <v>1</v>
      </c>
      <c r="H190" s="887"/>
      <c r="I190" s="877"/>
      <c r="J190" s="871"/>
      <c r="K190" s="869"/>
    </row>
    <row r="191" spans="1:11">
      <c r="A191" s="884"/>
      <c r="B191" s="676">
        <v>6.85</v>
      </c>
      <c r="C191" s="877"/>
      <c r="D191" s="877"/>
      <c r="E191" s="677">
        <v>1</v>
      </c>
      <c r="F191" s="677" t="s">
        <v>400</v>
      </c>
      <c r="G191" s="737">
        <v>1</v>
      </c>
      <c r="H191" s="887"/>
      <c r="I191" s="877"/>
      <c r="J191" s="871"/>
      <c r="K191" s="869"/>
    </row>
    <row r="192" spans="1:11">
      <c r="A192" s="884"/>
      <c r="B192" s="676">
        <v>6.85</v>
      </c>
      <c r="C192" s="877"/>
      <c r="D192" s="877"/>
      <c r="E192" s="677">
        <v>1</v>
      </c>
      <c r="F192" s="678" t="s">
        <v>379</v>
      </c>
      <c r="G192" s="737">
        <v>1</v>
      </c>
      <c r="H192" s="887"/>
      <c r="I192" s="877"/>
      <c r="J192" s="871"/>
      <c r="K192" s="869"/>
    </row>
    <row r="193" spans="1:11">
      <c r="A193" s="884"/>
      <c r="B193" s="676">
        <v>0</v>
      </c>
      <c r="C193" s="877"/>
      <c r="D193" s="877"/>
      <c r="E193" s="677">
        <v>1</v>
      </c>
      <c r="F193" s="678" t="s">
        <v>396</v>
      </c>
      <c r="G193" s="737">
        <v>1</v>
      </c>
      <c r="H193" s="887"/>
      <c r="I193" s="877"/>
      <c r="J193" s="871"/>
      <c r="K193" s="869"/>
    </row>
    <row r="194" spans="1:11">
      <c r="A194" s="885"/>
      <c r="B194" s="676">
        <v>0</v>
      </c>
      <c r="C194" s="889"/>
      <c r="D194" s="889"/>
      <c r="E194" s="677">
        <v>1</v>
      </c>
      <c r="F194" s="678" t="s">
        <v>394</v>
      </c>
      <c r="G194" s="737">
        <v>1</v>
      </c>
      <c r="H194" s="888"/>
      <c r="I194" s="889"/>
      <c r="J194" s="890"/>
      <c r="K194" s="869"/>
    </row>
    <row r="195" spans="1:11">
      <c r="A195" s="873" t="s">
        <v>231</v>
      </c>
      <c r="B195" s="676">
        <v>1.75</v>
      </c>
      <c r="C195" s="876">
        <v>2</v>
      </c>
      <c r="D195" s="876">
        <v>1</v>
      </c>
      <c r="E195" s="677">
        <v>1</v>
      </c>
      <c r="F195" s="678" t="s">
        <v>396</v>
      </c>
      <c r="G195" s="736">
        <v>1</v>
      </c>
      <c r="H195" s="886">
        <f>((B195+B196+B197+B198)*C195*D195*E195)-((0.9*(2.1-1.5)*G195)+(0.7*(1-0.3)*G196))</f>
        <v>15.37</v>
      </c>
      <c r="I195" s="876">
        <f>H195</f>
        <v>15.37</v>
      </c>
      <c r="J195" s="870">
        <f>H195-I195</f>
        <v>0</v>
      </c>
      <c r="K195" s="869"/>
    </row>
    <row r="196" spans="1:11">
      <c r="A196" s="874"/>
      <c r="B196" s="676">
        <v>1.75</v>
      </c>
      <c r="C196" s="877"/>
      <c r="D196" s="877"/>
      <c r="E196" s="677">
        <v>1</v>
      </c>
      <c r="F196" s="678" t="s">
        <v>395</v>
      </c>
      <c r="G196" s="736">
        <v>1</v>
      </c>
      <c r="H196" s="887"/>
      <c r="I196" s="877"/>
      <c r="J196" s="871"/>
      <c r="K196" s="869"/>
    </row>
    <row r="197" spans="1:11">
      <c r="A197" s="874"/>
      <c r="B197" s="676">
        <v>2.35</v>
      </c>
      <c r="C197" s="877"/>
      <c r="D197" s="877"/>
      <c r="E197" s="677"/>
      <c r="F197" s="677">
        <v>0</v>
      </c>
      <c r="G197" s="737">
        <v>0</v>
      </c>
      <c r="H197" s="887"/>
      <c r="I197" s="877"/>
      <c r="J197" s="871"/>
      <c r="K197" s="869"/>
    </row>
    <row r="198" spans="1:11">
      <c r="A198" s="879"/>
      <c r="B198" s="676">
        <v>2.35</v>
      </c>
      <c r="C198" s="877"/>
      <c r="D198" s="877"/>
      <c r="E198" s="677"/>
      <c r="F198" s="677">
        <v>0</v>
      </c>
      <c r="G198" s="737">
        <v>0</v>
      </c>
      <c r="H198" s="888"/>
      <c r="I198" s="889"/>
      <c r="J198" s="890"/>
      <c r="K198" s="869"/>
    </row>
    <row r="199" spans="1:11">
      <c r="A199" s="883" t="s">
        <v>466</v>
      </c>
      <c r="B199" s="676">
        <v>2.65</v>
      </c>
      <c r="C199" s="876">
        <v>3.5</v>
      </c>
      <c r="D199" s="876">
        <v>1</v>
      </c>
      <c r="E199" s="677">
        <v>1</v>
      </c>
      <c r="F199" s="678" t="s">
        <v>379</v>
      </c>
      <c r="G199" s="736">
        <v>2</v>
      </c>
      <c r="H199" s="886">
        <f>((B199+B200+B201+B202)*C199*D199*E199)-((0.8*2.1*G199)+(1*1*G200)+(1*1*G201))</f>
        <v>29.64</v>
      </c>
      <c r="I199" s="876">
        <f>H199</f>
        <v>29.64</v>
      </c>
      <c r="J199" s="870">
        <f>H199-I199</f>
        <v>0</v>
      </c>
      <c r="K199" s="869"/>
    </row>
    <row r="200" spans="1:11">
      <c r="A200" s="884"/>
      <c r="B200" s="676">
        <v>2.65</v>
      </c>
      <c r="C200" s="877"/>
      <c r="D200" s="877"/>
      <c r="E200" s="677">
        <v>0</v>
      </c>
      <c r="F200" s="678" t="s">
        <v>394</v>
      </c>
      <c r="G200" s="736">
        <v>1</v>
      </c>
      <c r="H200" s="887"/>
      <c r="I200" s="877"/>
      <c r="J200" s="871"/>
      <c r="K200" s="869"/>
    </row>
    <row r="201" spans="1:11">
      <c r="A201" s="884"/>
      <c r="B201" s="676">
        <v>2.35</v>
      </c>
      <c r="C201" s="877"/>
      <c r="D201" s="877"/>
      <c r="E201" s="677"/>
      <c r="F201" s="678" t="s">
        <v>394</v>
      </c>
      <c r="G201" s="737">
        <v>1</v>
      </c>
      <c r="H201" s="887"/>
      <c r="I201" s="877"/>
      <c r="J201" s="871"/>
      <c r="K201" s="869"/>
    </row>
    <row r="202" spans="1:11">
      <c r="A202" s="885"/>
      <c r="B202" s="676">
        <v>2.35</v>
      </c>
      <c r="C202" s="877"/>
      <c r="D202" s="877"/>
      <c r="E202" s="677"/>
      <c r="F202" s="677">
        <v>0</v>
      </c>
      <c r="G202" s="737">
        <v>0</v>
      </c>
      <c r="H202" s="888"/>
      <c r="I202" s="889"/>
      <c r="J202" s="890"/>
      <c r="K202" s="869"/>
    </row>
    <row r="203" spans="1:11">
      <c r="A203" s="873" t="s">
        <v>372</v>
      </c>
      <c r="B203" s="676">
        <v>1.3</v>
      </c>
      <c r="C203" s="876">
        <v>3.5</v>
      </c>
      <c r="D203" s="876">
        <v>1</v>
      </c>
      <c r="E203" s="677">
        <v>1</v>
      </c>
      <c r="F203" s="678" t="s">
        <v>393</v>
      </c>
      <c r="G203" s="736">
        <v>4</v>
      </c>
      <c r="H203" s="886">
        <f>((B203+B204+B205+B206+B207)*C203*D203*E203)-((0.7*2.1*G203)+(0.8*2.1*G204)+(0.7*2.1*G205))</f>
        <v>77.24499999999999</v>
      </c>
      <c r="I203" s="876">
        <f>H203</f>
        <v>77.24499999999999</v>
      </c>
      <c r="J203" s="870">
        <f>H203-I203</f>
        <v>0</v>
      </c>
      <c r="K203" s="869"/>
    </row>
    <row r="204" spans="1:11">
      <c r="A204" s="874"/>
      <c r="B204" s="676">
        <v>6.2</v>
      </c>
      <c r="C204" s="877"/>
      <c r="D204" s="877"/>
      <c r="E204" s="677">
        <v>1</v>
      </c>
      <c r="F204" s="678" t="s">
        <v>379</v>
      </c>
      <c r="G204" s="736">
        <v>1</v>
      </c>
      <c r="H204" s="887"/>
      <c r="I204" s="877"/>
      <c r="J204" s="871"/>
      <c r="K204" s="869"/>
    </row>
    <row r="205" spans="1:11">
      <c r="A205" s="874"/>
      <c r="B205" s="676">
        <v>4.95</v>
      </c>
      <c r="C205" s="877"/>
      <c r="D205" s="877"/>
      <c r="E205" s="677">
        <v>1</v>
      </c>
      <c r="F205" s="678" t="s">
        <v>396</v>
      </c>
      <c r="G205" s="736">
        <v>1</v>
      </c>
      <c r="H205" s="887"/>
      <c r="I205" s="877"/>
      <c r="J205" s="871"/>
      <c r="K205" s="869"/>
    </row>
    <row r="206" spans="1:11">
      <c r="A206" s="874"/>
      <c r="B206" s="676">
        <v>5.45</v>
      </c>
      <c r="C206" s="877"/>
      <c r="D206" s="877"/>
      <c r="E206" s="677"/>
      <c r="F206" s="677"/>
      <c r="G206" s="737"/>
      <c r="H206" s="887"/>
      <c r="I206" s="877"/>
      <c r="J206" s="871"/>
      <c r="K206" s="869"/>
    </row>
    <row r="207" spans="1:11">
      <c r="A207" s="874"/>
      <c r="B207" s="676">
        <v>6.75</v>
      </c>
      <c r="C207" s="877"/>
      <c r="D207" s="877"/>
      <c r="E207" s="677"/>
      <c r="F207" s="677"/>
      <c r="G207" s="737"/>
      <c r="H207" s="887"/>
      <c r="I207" s="877"/>
      <c r="J207" s="871"/>
      <c r="K207" s="869"/>
    </row>
    <row r="208" spans="1:11">
      <c r="A208" s="883" t="s">
        <v>389</v>
      </c>
      <c r="B208" s="676">
        <v>2.35</v>
      </c>
      <c r="C208" s="876">
        <v>3.5</v>
      </c>
      <c r="D208" s="876">
        <v>1</v>
      </c>
      <c r="E208" s="677">
        <v>1</v>
      </c>
      <c r="F208" s="678" t="s">
        <v>379</v>
      </c>
      <c r="G208" s="736">
        <v>3</v>
      </c>
      <c r="H208" s="886">
        <f>((B208+B209+B210+B211+B212+B213)*C208*D208*E208)-((0.8*2.1*G208)+(1*0.4*G209))</f>
        <v>79.91</v>
      </c>
      <c r="I208" s="876">
        <f>H208</f>
        <v>79.91</v>
      </c>
      <c r="J208" s="870">
        <f>H208-I208</f>
        <v>0</v>
      </c>
      <c r="K208" s="869"/>
    </row>
    <row r="209" spans="1:11">
      <c r="A209" s="884"/>
      <c r="B209" s="676">
        <v>2.2999999999999998</v>
      </c>
      <c r="C209" s="877"/>
      <c r="D209" s="877"/>
      <c r="E209" s="677">
        <v>1</v>
      </c>
      <c r="F209" s="678" t="s">
        <v>397</v>
      </c>
      <c r="G209" s="736">
        <v>2</v>
      </c>
      <c r="H209" s="887"/>
      <c r="I209" s="877"/>
      <c r="J209" s="871"/>
      <c r="K209" s="869"/>
    </row>
    <row r="210" spans="1:11">
      <c r="A210" s="884"/>
      <c r="B210" s="676">
        <v>2.4500000000000002</v>
      </c>
      <c r="C210" s="877"/>
      <c r="D210" s="877"/>
      <c r="E210" s="677"/>
      <c r="F210" s="677">
        <v>0</v>
      </c>
      <c r="G210" s="737">
        <v>0</v>
      </c>
      <c r="H210" s="887"/>
      <c r="I210" s="877"/>
      <c r="J210" s="871"/>
      <c r="K210" s="869"/>
    </row>
    <row r="211" spans="1:11">
      <c r="A211" s="884"/>
      <c r="B211" s="676">
        <v>5.15</v>
      </c>
      <c r="C211" s="877"/>
      <c r="D211" s="877"/>
      <c r="E211" s="677"/>
      <c r="F211" s="677"/>
      <c r="G211" s="737"/>
      <c r="H211" s="887"/>
      <c r="I211" s="877"/>
      <c r="J211" s="871"/>
      <c r="K211" s="869"/>
    </row>
    <row r="212" spans="1:11">
      <c r="A212" s="884"/>
      <c r="B212" s="676">
        <v>4.8</v>
      </c>
      <c r="C212" s="877"/>
      <c r="D212" s="877"/>
      <c r="E212" s="677"/>
      <c r="F212" s="677"/>
      <c r="G212" s="737"/>
      <c r="H212" s="887"/>
      <c r="I212" s="877"/>
      <c r="J212" s="871"/>
      <c r="K212" s="869"/>
    </row>
    <row r="213" spans="1:11">
      <c r="A213" s="884"/>
      <c r="B213" s="676">
        <v>7.45</v>
      </c>
      <c r="C213" s="877"/>
      <c r="D213" s="877"/>
      <c r="E213" s="677"/>
      <c r="F213" s="677"/>
      <c r="G213" s="737"/>
      <c r="H213" s="887"/>
      <c r="I213" s="877"/>
      <c r="J213" s="871"/>
      <c r="K213" s="869"/>
    </row>
    <row r="214" spans="1:11">
      <c r="A214" s="883" t="s">
        <v>373</v>
      </c>
      <c r="B214" s="676">
        <v>1.25</v>
      </c>
      <c r="C214" s="876">
        <v>2</v>
      </c>
      <c r="D214" s="876">
        <v>1</v>
      </c>
      <c r="E214" s="677">
        <v>1</v>
      </c>
      <c r="F214" s="678" t="s">
        <v>393</v>
      </c>
      <c r="G214" s="736">
        <v>1</v>
      </c>
      <c r="H214" s="886">
        <f>((B214+B215+B216+B217)*C214*D214*E214)-((0.7*(2.1-1.5)*G214)+(0.7*(1-0.3)*G215))</f>
        <v>13.09</v>
      </c>
      <c r="I214" s="876">
        <f>H214</f>
        <v>13.09</v>
      </c>
      <c r="J214" s="870">
        <f>H214-I214</f>
        <v>0</v>
      </c>
      <c r="K214" s="869"/>
    </row>
    <row r="215" spans="1:11" ht="14.45" customHeight="1">
      <c r="A215" s="884"/>
      <c r="B215" s="676">
        <v>1.25</v>
      </c>
      <c r="C215" s="877"/>
      <c r="D215" s="877"/>
      <c r="E215" s="677">
        <v>1</v>
      </c>
      <c r="F215" s="678" t="s">
        <v>395</v>
      </c>
      <c r="G215" s="736">
        <v>1</v>
      </c>
      <c r="H215" s="887"/>
      <c r="I215" s="877"/>
      <c r="J215" s="871"/>
      <c r="K215" s="869"/>
    </row>
    <row r="216" spans="1:11">
      <c r="A216" s="884"/>
      <c r="B216" s="676">
        <v>2.25</v>
      </c>
      <c r="C216" s="877"/>
      <c r="D216" s="877"/>
      <c r="E216" s="677"/>
      <c r="F216" s="677">
        <v>0</v>
      </c>
      <c r="G216" s="737">
        <v>0</v>
      </c>
      <c r="H216" s="887"/>
      <c r="I216" s="877"/>
      <c r="J216" s="871"/>
      <c r="K216" s="869"/>
    </row>
    <row r="217" spans="1:11">
      <c r="A217" s="885"/>
      <c r="B217" s="676">
        <v>2.25</v>
      </c>
      <c r="C217" s="877"/>
      <c r="D217" s="877"/>
      <c r="E217" s="677"/>
      <c r="F217" s="677">
        <v>0</v>
      </c>
      <c r="G217" s="737">
        <v>0</v>
      </c>
      <c r="H217" s="888"/>
      <c r="I217" s="889"/>
      <c r="J217" s="890"/>
      <c r="K217" s="869"/>
    </row>
    <row r="218" spans="1:11">
      <c r="A218" s="873" t="s">
        <v>388</v>
      </c>
      <c r="B218" s="676">
        <v>1.5</v>
      </c>
      <c r="C218" s="876">
        <v>2</v>
      </c>
      <c r="D218" s="876">
        <v>1</v>
      </c>
      <c r="E218" s="677">
        <v>1</v>
      </c>
      <c r="F218" s="678" t="s">
        <v>393</v>
      </c>
      <c r="G218" s="737">
        <v>1</v>
      </c>
      <c r="H218" s="886">
        <f>((B218+B219+B220+B221)*C218*D218*E218)-((0.7*(2.1-1.5)*G218)+(0.7*(1-0.3)*G219))</f>
        <v>14.09</v>
      </c>
      <c r="I218" s="876">
        <f>H218</f>
        <v>14.09</v>
      </c>
      <c r="J218" s="870">
        <f>H218-I218</f>
        <v>0</v>
      </c>
      <c r="K218" s="869"/>
    </row>
    <row r="219" spans="1:11">
      <c r="A219" s="874"/>
      <c r="B219" s="676">
        <v>1.5</v>
      </c>
      <c r="C219" s="877"/>
      <c r="D219" s="877"/>
      <c r="E219" s="677">
        <v>0</v>
      </c>
      <c r="F219" s="678" t="s">
        <v>395</v>
      </c>
      <c r="G219" s="737">
        <v>1</v>
      </c>
      <c r="H219" s="887"/>
      <c r="I219" s="877"/>
      <c r="J219" s="871"/>
      <c r="K219" s="869"/>
    </row>
    <row r="220" spans="1:11">
      <c r="A220" s="874"/>
      <c r="B220" s="676">
        <v>2.25</v>
      </c>
      <c r="C220" s="877"/>
      <c r="D220" s="877"/>
      <c r="E220" s="677"/>
      <c r="F220" s="677">
        <v>0</v>
      </c>
      <c r="G220" s="737">
        <v>0</v>
      </c>
      <c r="H220" s="887"/>
      <c r="I220" s="877"/>
      <c r="J220" s="871"/>
      <c r="K220" s="869"/>
    </row>
    <row r="221" spans="1:11">
      <c r="A221" s="879"/>
      <c r="B221" s="676">
        <v>2.25</v>
      </c>
      <c r="C221" s="877"/>
      <c r="D221" s="877"/>
      <c r="E221" s="677"/>
      <c r="F221" s="677">
        <v>0</v>
      </c>
      <c r="G221" s="737">
        <v>0</v>
      </c>
      <c r="H221" s="888"/>
      <c r="I221" s="889"/>
      <c r="J221" s="890"/>
      <c r="K221" s="869"/>
    </row>
    <row r="222" spans="1:11">
      <c r="A222" s="873" t="s">
        <v>387</v>
      </c>
      <c r="B222" s="676">
        <v>1.25</v>
      </c>
      <c r="C222" s="876">
        <v>2</v>
      </c>
      <c r="D222" s="876">
        <v>1</v>
      </c>
      <c r="E222" s="677">
        <v>1</v>
      </c>
      <c r="F222" s="678" t="s">
        <v>393</v>
      </c>
      <c r="G222" s="736">
        <v>1</v>
      </c>
      <c r="H222" s="886">
        <f>((B222+B223+B224+B225)*C222*D222*E222)-((0.7*(2.1-1.5)*G222)+(0.7*(1-0.3)*G223))</f>
        <v>13.09</v>
      </c>
      <c r="I222" s="876">
        <f>H222</f>
        <v>13.09</v>
      </c>
      <c r="J222" s="870">
        <v>0</v>
      </c>
      <c r="K222" s="869"/>
    </row>
    <row r="223" spans="1:11">
      <c r="A223" s="874"/>
      <c r="B223" s="676">
        <v>1.25</v>
      </c>
      <c r="C223" s="877"/>
      <c r="D223" s="877"/>
      <c r="E223" s="677">
        <v>1</v>
      </c>
      <c r="F223" s="678" t="s">
        <v>395</v>
      </c>
      <c r="G223" s="736">
        <v>1</v>
      </c>
      <c r="H223" s="887"/>
      <c r="I223" s="877"/>
      <c r="J223" s="871"/>
      <c r="K223" s="869"/>
    </row>
    <row r="224" spans="1:11">
      <c r="A224" s="874"/>
      <c r="B224" s="676">
        <v>2.25</v>
      </c>
      <c r="C224" s="877"/>
      <c r="D224" s="877"/>
      <c r="E224" s="677"/>
      <c r="F224" s="677">
        <v>0</v>
      </c>
      <c r="G224" s="737">
        <v>0</v>
      </c>
      <c r="H224" s="887"/>
      <c r="I224" s="877"/>
      <c r="J224" s="871"/>
      <c r="K224" s="869"/>
    </row>
    <row r="225" spans="1:11">
      <c r="A225" s="879"/>
      <c r="B225" s="676">
        <v>2.25</v>
      </c>
      <c r="C225" s="877"/>
      <c r="D225" s="877"/>
      <c r="E225" s="677"/>
      <c r="F225" s="677">
        <v>0</v>
      </c>
      <c r="G225" s="737">
        <v>0</v>
      </c>
      <c r="H225" s="888"/>
      <c r="I225" s="889"/>
      <c r="J225" s="890"/>
      <c r="K225" s="869"/>
    </row>
    <row r="226" spans="1:11">
      <c r="A226" s="873" t="s">
        <v>233</v>
      </c>
      <c r="B226" s="676">
        <v>1.75</v>
      </c>
      <c r="C226" s="876">
        <f>3.5-1.5</f>
        <v>2</v>
      </c>
      <c r="D226" s="876">
        <v>1</v>
      </c>
      <c r="E226" s="677">
        <v>1</v>
      </c>
      <c r="F226" s="678" t="s">
        <v>393</v>
      </c>
      <c r="G226" s="736">
        <v>1</v>
      </c>
      <c r="H226" s="886">
        <f>((B226+B227+B228+B229)*C226*D226*E226)-((0.7*(2.1-1.5)*G226)+(1*(1-0.3)*G227))</f>
        <v>14.879999999999999</v>
      </c>
      <c r="I226" s="876">
        <f>H226</f>
        <v>14.879999999999999</v>
      </c>
      <c r="J226" s="870">
        <f>H226-I226</f>
        <v>0</v>
      </c>
      <c r="K226" s="869"/>
    </row>
    <row r="227" spans="1:11">
      <c r="A227" s="874"/>
      <c r="B227" s="676">
        <v>1.75</v>
      </c>
      <c r="C227" s="877"/>
      <c r="D227" s="877"/>
      <c r="E227" s="677">
        <v>1</v>
      </c>
      <c r="F227" s="678" t="s">
        <v>394</v>
      </c>
      <c r="G227" s="736">
        <v>1</v>
      </c>
      <c r="H227" s="887"/>
      <c r="I227" s="877"/>
      <c r="J227" s="871"/>
      <c r="K227" s="869"/>
    </row>
    <row r="228" spans="1:11">
      <c r="A228" s="874"/>
      <c r="B228" s="676">
        <v>2.25</v>
      </c>
      <c r="C228" s="877"/>
      <c r="D228" s="877"/>
      <c r="E228" s="677"/>
      <c r="F228" s="677">
        <v>0</v>
      </c>
      <c r="G228" s="737">
        <v>0</v>
      </c>
      <c r="H228" s="887"/>
      <c r="I228" s="877"/>
      <c r="J228" s="871"/>
      <c r="K228" s="869"/>
    </row>
    <row r="229" spans="1:11" ht="15.75" thickBot="1">
      <c r="A229" s="875"/>
      <c r="B229" s="740">
        <v>2.25</v>
      </c>
      <c r="C229" s="878"/>
      <c r="D229" s="878"/>
      <c r="E229" s="741"/>
      <c r="F229" s="741">
        <v>0</v>
      </c>
      <c r="G229" s="738">
        <v>0</v>
      </c>
      <c r="H229" s="902"/>
      <c r="I229" s="878"/>
      <c r="J229" s="872"/>
      <c r="K229" s="869"/>
    </row>
    <row r="230" spans="1:11" ht="15.75" thickBot="1">
      <c r="A230" s="880" t="s">
        <v>380</v>
      </c>
      <c r="B230" s="881"/>
      <c r="C230" s="881"/>
      <c r="D230" s="881"/>
      <c r="E230" s="881"/>
      <c r="F230" s="881"/>
      <c r="G230" s="882"/>
      <c r="H230" s="543">
        <f>SUM(H181:H229)</f>
        <v>497.78999999999991</v>
      </c>
      <c r="I230" s="543">
        <f>SUM(I181:I229)</f>
        <v>309.16999999999996</v>
      </c>
      <c r="J230" s="544">
        <f>SUM(J181:J229)</f>
        <v>188.62</v>
      </c>
      <c r="K230" s="734"/>
    </row>
    <row r="233" spans="1:11" ht="17.45" customHeight="1">
      <c r="A233" s="627" t="s">
        <v>456</v>
      </c>
      <c r="B233" s="865" t="s">
        <v>449</v>
      </c>
      <c r="C233" s="865"/>
      <c r="D233" s="865"/>
      <c r="E233" s="865"/>
      <c r="F233" s="865"/>
      <c r="G233" s="865"/>
      <c r="H233" s="865"/>
      <c r="I233" s="865"/>
      <c r="J233" s="865"/>
      <c r="K233" s="762"/>
    </row>
    <row r="234" spans="1:11" ht="17.45" customHeight="1">
      <c r="A234" s="627"/>
      <c r="B234" s="865"/>
      <c r="C234" s="865"/>
      <c r="D234" s="865"/>
      <c r="E234" s="865"/>
      <c r="F234" s="865"/>
      <c r="G234" s="865"/>
      <c r="H234" s="865"/>
      <c r="I234" s="865"/>
      <c r="J234" s="865"/>
      <c r="K234" s="762"/>
    </row>
    <row r="235" spans="1:11" ht="17.45" customHeight="1">
      <c r="A235" s="627" t="s">
        <v>457</v>
      </c>
      <c r="B235" s="865" t="s">
        <v>451</v>
      </c>
      <c r="C235" s="865"/>
      <c r="D235" s="865"/>
      <c r="E235" s="865"/>
      <c r="F235" s="865"/>
      <c r="G235" s="865"/>
      <c r="H235" s="865"/>
      <c r="I235" s="865"/>
      <c r="J235" s="865"/>
      <c r="K235" s="865"/>
    </row>
    <row r="236" spans="1:11" ht="17.45" customHeight="1">
      <c r="A236" s="627"/>
      <c r="B236" s="865"/>
      <c r="C236" s="865"/>
      <c r="D236" s="865"/>
      <c r="E236" s="865"/>
      <c r="F236" s="865"/>
      <c r="G236" s="865"/>
      <c r="H236" s="865"/>
      <c r="I236" s="865"/>
      <c r="J236" s="865"/>
      <c r="K236" s="865"/>
    </row>
    <row r="237" spans="1:11" ht="17.45" customHeight="1">
      <c r="A237" s="627" t="s">
        <v>458</v>
      </c>
      <c r="B237" s="865" t="s">
        <v>375</v>
      </c>
      <c r="C237" s="865"/>
      <c r="D237" s="865"/>
      <c r="E237" s="865"/>
      <c r="F237" s="865"/>
      <c r="G237" s="865"/>
      <c r="H237" s="865"/>
      <c r="I237" s="865"/>
      <c r="J237" s="865"/>
      <c r="K237" s="865"/>
    </row>
    <row r="238" spans="1:11" ht="10.9" customHeight="1">
      <c r="A238" s="627"/>
      <c r="B238" s="865"/>
      <c r="C238" s="865"/>
      <c r="D238" s="865"/>
      <c r="E238" s="865"/>
      <c r="F238" s="865"/>
      <c r="G238" s="865"/>
      <c r="H238" s="865"/>
      <c r="I238" s="865"/>
      <c r="J238" s="865"/>
      <c r="K238" s="865"/>
    </row>
    <row r="239" spans="1:11" ht="17.45" customHeight="1">
      <c r="A239" s="627" t="s">
        <v>459</v>
      </c>
      <c r="B239" s="865" t="s">
        <v>325</v>
      </c>
      <c r="C239" s="865"/>
      <c r="D239" s="865"/>
      <c r="E239" s="865"/>
      <c r="F239" s="865"/>
      <c r="G239" s="865"/>
      <c r="H239" s="865"/>
      <c r="I239" s="865"/>
      <c r="J239" s="865"/>
      <c r="K239" s="865"/>
    </row>
    <row r="240" spans="1:11" ht="17.45" customHeight="1" thickBot="1">
      <c r="A240" s="627"/>
      <c r="B240" s="865"/>
      <c r="C240" s="865"/>
      <c r="D240" s="865"/>
      <c r="E240" s="865"/>
      <c r="F240" s="865"/>
      <c r="G240" s="865"/>
      <c r="H240" s="865"/>
      <c r="I240" s="865"/>
      <c r="J240" s="865"/>
      <c r="K240" s="865"/>
    </row>
    <row r="241" spans="1:11" ht="17.45" customHeight="1" thickBot="1">
      <c r="A241" s="866" t="s">
        <v>465</v>
      </c>
      <c r="B241" s="867"/>
      <c r="C241" s="867"/>
      <c r="D241" s="868"/>
      <c r="E241" s="635"/>
      <c r="F241" s="653"/>
      <c r="G241" s="650"/>
      <c r="H241" s="682"/>
      <c r="I241" s="682"/>
      <c r="J241" s="625"/>
      <c r="K241" s="625"/>
    </row>
    <row r="242" spans="1:11" ht="45" customHeight="1">
      <c r="A242" s="671" t="s">
        <v>149</v>
      </c>
      <c r="B242" s="672" t="s">
        <v>468</v>
      </c>
      <c r="C242" s="672" t="s">
        <v>42</v>
      </c>
      <c r="D242" s="684" t="s">
        <v>469</v>
      </c>
      <c r="E242" s="684" t="s">
        <v>470</v>
      </c>
      <c r="F242" s="684" t="s">
        <v>471</v>
      </c>
      <c r="G242" s="673" t="s">
        <v>383</v>
      </c>
      <c r="I242" s="739"/>
      <c r="J242" s="739"/>
      <c r="K242" s="739"/>
    </row>
    <row r="243" spans="1:11" ht="17.45" customHeight="1">
      <c r="A243" s="683" t="s">
        <v>386</v>
      </c>
      <c r="B243" s="681">
        <v>13.76</v>
      </c>
      <c r="C243" s="750">
        <v>1</v>
      </c>
      <c r="D243" s="737">
        <v>0</v>
      </c>
      <c r="E243" s="737">
        <v>0</v>
      </c>
      <c r="F243" s="737">
        <f>B243*C243</f>
        <v>13.76</v>
      </c>
      <c r="G243" s="751">
        <f>F243</f>
        <v>13.76</v>
      </c>
      <c r="I243" s="569"/>
      <c r="J243" s="569"/>
      <c r="K243" s="569"/>
    </row>
    <row r="244" spans="1:11" ht="30.6" customHeight="1">
      <c r="A244" s="747" t="s">
        <v>390</v>
      </c>
      <c r="B244" s="676">
        <v>25.35</v>
      </c>
      <c r="C244" s="745">
        <v>1</v>
      </c>
      <c r="D244" s="745">
        <f>B244*C244</f>
        <v>25.35</v>
      </c>
      <c r="E244" s="745">
        <f>C244*D244</f>
        <v>25.35</v>
      </c>
      <c r="F244" s="737">
        <v>0</v>
      </c>
      <c r="G244" s="751">
        <f t="shared" ref="G244:G252" si="3">F244</f>
        <v>0</v>
      </c>
      <c r="I244" s="569"/>
      <c r="J244" s="569"/>
      <c r="K244" s="569"/>
    </row>
    <row r="245" spans="1:11" ht="17.45" customHeight="1">
      <c r="A245" s="746" t="s">
        <v>231</v>
      </c>
      <c r="B245" s="676">
        <v>4.12</v>
      </c>
      <c r="C245" s="745">
        <v>1</v>
      </c>
      <c r="D245" s="745">
        <v>0</v>
      </c>
      <c r="E245" s="745">
        <v>0</v>
      </c>
      <c r="F245" s="737">
        <f t="shared" ref="F245:F252" si="4">B245*C245</f>
        <v>4.12</v>
      </c>
      <c r="G245" s="751">
        <f t="shared" si="3"/>
        <v>4.12</v>
      </c>
      <c r="I245" s="569"/>
      <c r="J245" s="569"/>
      <c r="K245" s="569"/>
    </row>
    <row r="246" spans="1:11" ht="31.9" customHeight="1">
      <c r="A246" s="747" t="s">
        <v>466</v>
      </c>
      <c r="B246" s="676">
        <v>6.23</v>
      </c>
      <c r="C246" s="745">
        <v>1</v>
      </c>
      <c r="D246" s="745">
        <v>0</v>
      </c>
      <c r="E246" s="745">
        <v>0</v>
      </c>
      <c r="F246" s="737">
        <f t="shared" si="4"/>
        <v>6.23</v>
      </c>
      <c r="G246" s="751">
        <f t="shared" si="3"/>
        <v>6.23</v>
      </c>
      <c r="I246" s="569"/>
      <c r="J246" s="569"/>
      <c r="K246" s="569"/>
    </row>
    <row r="247" spans="1:11" ht="17.45" customHeight="1">
      <c r="A247" s="746" t="s">
        <v>372</v>
      </c>
      <c r="B247" s="676">
        <v>14.87</v>
      </c>
      <c r="C247" s="745">
        <v>1</v>
      </c>
      <c r="D247" s="745">
        <f>B247*C247</f>
        <v>14.87</v>
      </c>
      <c r="E247" s="745">
        <f>C247*D247</f>
        <v>14.87</v>
      </c>
      <c r="F247" s="737">
        <v>0</v>
      </c>
      <c r="G247" s="751">
        <f t="shared" si="3"/>
        <v>0</v>
      </c>
      <c r="I247" s="569"/>
      <c r="J247" s="569"/>
      <c r="K247" s="569"/>
    </row>
    <row r="248" spans="1:11" ht="21.6" customHeight="1">
      <c r="A248" s="747" t="s">
        <v>389</v>
      </c>
      <c r="B248" s="676">
        <v>30.13</v>
      </c>
      <c r="C248" s="745">
        <v>1</v>
      </c>
      <c r="D248" s="745">
        <v>0</v>
      </c>
      <c r="E248" s="745">
        <v>0</v>
      </c>
      <c r="F248" s="737">
        <f t="shared" si="4"/>
        <v>30.13</v>
      </c>
      <c r="G248" s="751">
        <f t="shared" si="3"/>
        <v>30.13</v>
      </c>
      <c r="I248" s="569"/>
      <c r="J248" s="569"/>
      <c r="K248" s="569"/>
    </row>
    <row r="249" spans="1:11" ht="34.9" customHeight="1">
      <c r="A249" s="747" t="s">
        <v>373</v>
      </c>
      <c r="B249" s="676">
        <v>2.81</v>
      </c>
      <c r="C249" s="745">
        <v>1</v>
      </c>
      <c r="D249" s="745">
        <v>0</v>
      </c>
      <c r="E249" s="745">
        <v>0</v>
      </c>
      <c r="F249" s="737">
        <f t="shared" si="4"/>
        <v>2.81</v>
      </c>
      <c r="G249" s="751">
        <f t="shared" si="3"/>
        <v>2.81</v>
      </c>
      <c r="I249" s="569"/>
      <c r="J249" s="569"/>
      <c r="K249" s="569"/>
    </row>
    <row r="250" spans="1:11" ht="17.45" customHeight="1">
      <c r="A250" s="746" t="s">
        <v>388</v>
      </c>
      <c r="B250" s="676">
        <v>3.38</v>
      </c>
      <c r="C250" s="745">
        <v>1</v>
      </c>
      <c r="D250" s="745">
        <v>0</v>
      </c>
      <c r="E250" s="745">
        <v>0</v>
      </c>
      <c r="F250" s="737">
        <f t="shared" si="4"/>
        <v>3.38</v>
      </c>
      <c r="G250" s="751">
        <f t="shared" si="3"/>
        <v>3.38</v>
      </c>
      <c r="I250" s="569"/>
      <c r="J250" s="569"/>
      <c r="K250" s="569"/>
    </row>
    <row r="251" spans="1:11" ht="17.45" customHeight="1">
      <c r="A251" s="746" t="s">
        <v>387</v>
      </c>
      <c r="B251" s="676">
        <v>2.81</v>
      </c>
      <c r="C251" s="745">
        <v>1</v>
      </c>
      <c r="D251" s="745">
        <v>0</v>
      </c>
      <c r="E251" s="745">
        <v>0</v>
      </c>
      <c r="F251" s="737">
        <f t="shared" si="4"/>
        <v>2.81</v>
      </c>
      <c r="G251" s="751">
        <f t="shared" si="3"/>
        <v>2.81</v>
      </c>
      <c r="I251" s="569"/>
      <c r="J251" s="569"/>
      <c r="K251" s="569"/>
    </row>
    <row r="252" spans="1:11" ht="17.45" customHeight="1" thickBot="1">
      <c r="A252" s="748" t="s">
        <v>233</v>
      </c>
      <c r="B252" s="740">
        <v>3.94</v>
      </c>
      <c r="C252" s="749">
        <v>1</v>
      </c>
      <c r="D252" s="749">
        <v>0</v>
      </c>
      <c r="E252" s="749">
        <v>0</v>
      </c>
      <c r="F252" s="737">
        <f t="shared" si="4"/>
        <v>3.94</v>
      </c>
      <c r="G252" s="751">
        <f t="shared" si="3"/>
        <v>3.94</v>
      </c>
      <c r="I252" s="569"/>
      <c r="J252" s="569"/>
      <c r="K252" s="569"/>
    </row>
    <row r="253" spans="1:11" ht="17.45" customHeight="1" thickBot="1">
      <c r="A253" s="903" t="s">
        <v>472</v>
      </c>
      <c r="B253" s="904"/>
      <c r="C253" s="905"/>
      <c r="D253" s="543">
        <f>SUM(D243:D252)</f>
        <v>40.22</v>
      </c>
      <c r="E253" s="543">
        <f>SUM(E243:E252)</f>
        <v>40.22</v>
      </c>
      <c r="F253" s="543">
        <f>SUM(F243:F252)</f>
        <v>67.180000000000007</v>
      </c>
      <c r="G253" s="544">
        <f>SUM(G243:G252)</f>
        <v>67.180000000000007</v>
      </c>
      <c r="I253" s="569"/>
      <c r="J253" s="569"/>
      <c r="K253" s="569"/>
    </row>
    <row r="254" spans="1:11" ht="17.45" customHeight="1">
      <c r="A254" s="744"/>
      <c r="B254" s="742"/>
      <c r="C254" s="569"/>
      <c r="D254" s="569"/>
      <c r="E254" s="743"/>
      <c r="F254" s="743"/>
      <c r="G254" s="743"/>
      <c r="H254" s="569"/>
      <c r="I254" s="569"/>
      <c r="J254" s="569"/>
      <c r="K254" s="569"/>
    </row>
    <row r="255" spans="1:11" ht="17.45" customHeight="1">
      <c r="A255" s="744"/>
      <c r="B255" s="742"/>
      <c r="C255" s="569"/>
      <c r="D255" s="569"/>
      <c r="E255" s="743"/>
      <c r="F255" s="743"/>
      <c r="G255" s="743"/>
      <c r="H255" s="569"/>
      <c r="I255" s="569"/>
      <c r="J255" s="569"/>
      <c r="K255" s="569"/>
    </row>
    <row r="256" spans="1:11" ht="17.45" customHeight="1">
      <c r="A256" s="744"/>
      <c r="B256" s="742"/>
      <c r="C256" s="569"/>
      <c r="D256" s="569"/>
      <c r="E256" s="743"/>
      <c r="F256" s="743"/>
      <c r="G256" s="743"/>
      <c r="H256" s="569"/>
      <c r="I256" s="569"/>
      <c r="J256" s="569"/>
      <c r="K256" s="569"/>
    </row>
    <row r="257" spans="1:12">
      <c r="A257" s="525"/>
      <c r="B257" s="891" t="s">
        <v>237</v>
      </c>
      <c r="C257" s="891"/>
      <c r="D257" s="891"/>
      <c r="E257" s="891"/>
      <c r="F257" s="891"/>
      <c r="G257" s="638"/>
      <c r="H257" s="625"/>
      <c r="I257" s="625"/>
      <c r="J257" s="638"/>
      <c r="K257" s="625"/>
    </row>
    <row r="258" spans="1:12">
      <c r="A258" s="525"/>
      <c r="B258" s="638"/>
      <c r="C258" s="524"/>
      <c r="D258" s="635"/>
      <c r="E258" s="679"/>
      <c r="F258" s="638"/>
      <c r="G258" s="638"/>
      <c r="H258" s="625"/>
      <c r="I258" s="625"/>
      <c r="J258" s="638"/>
      <c r="K258" s="625"/>
    </row>
    <row r="259" spans="1:12">
      <c r="A259" s="525"/>
      <c r="B259" s="891" t="s">
        <v>478</v>
      </c>
      <c r="C259" s="891"/>
      <c r="D259" s="891"/>
      <c r="E259" s="891"/>
      <c r="F259" s="891"/>
      <c r="G259" s="638"/>
      <c r="H259" s="625"/>
      <c r="I259" s="625"/>
      <c r="J259" s="638"/>
      <c r="K259" s="625"/>
    </row>
    <row r="260" spans="1:12">
      <c r="A260" s="525"/>
      <c r="B260" s="638"/>
      <c r="C260" s="524"/>
      <c r="D260" s="635"/>
      <c r="E260" s="679"/>
      <c r="F260" s="638"/>
      <c r="G260" s="638"/>
      <c r="H260" s="625"/>
      <c r="I260" s="625"/>
      <c r="J260" s="638"/>
      <c r="K260" s="625"/>
    </row>
    <row r="261" spans="1:12" ht="14.25" customHeight="1">
      <c r="A261" s="335"/>
      <c r="B261" s="189"/>
      <c r="C261" s="189"/>
      <c r="D261" s="189"/>
      <c r="E261" s="167"/>
      <c r="F261" s="18"/>
      <c r="G261" s="18"/>
      <c r="J261" s="18"/>
    </row>
    <row r="262" spans="1:12" ht="14.25" customHeight="1">
      <c r="A262" s="335"/>
      <c r="B262" s="189"/>
      <c r="C262" s="189"/>
      <c r="D262" s="189"/>
      <c r="E262" s="185"/>
      <c r="F262" s="173"/>
      <c r="G262" s="18"/>
      <c r="J262" s="18"/>
    </row>
    <row r="263" spans="1:12">
      <c r="A263" s="335"/>
      <c r="B263" s="18"/>
      <c r="C263" s="180"/>
      <c r="D263" s="189"/>
      <c r="E263" s="179"/>
      <c r="F263" s="18"/>
      <c r="G263" s="18"/>
      <c r="J263" s="18"/>
    </row>
    <row r="264" spans="1:12">
      <c r="A264" s="335"/>
      <c r="B264" s="18"/>
      <c r="C264" s="180"/>
      <c r="D264" s="185"/>
      <c r="E264" s="188"/>
      <c r="F264" s="18"/>
      <c r="G264" s="18"/>
      <c r="J264" s="18"/>
    </row>
    <row r="265" spans="1:12">
      <c r="A265" s="335"/>
      <c r="B265" s="18"/>
      <c r="C265" s="180"/>
      <c r="D265" s="185"/>
      <c r="E265" s="188"/>
      <c r="F265" s="18"/>
      <c r="G265" s="18"/>
      <c r="J265" s="18"/>
    </row>
    <row r="266" spans="1:12">
      <c r="A266" s="335"/>
      <c r="B266" s="18"/>
      <c r="C266" s="180"/>
      <c r="D266" s="185"/>
      <c r="E266" s="185"/>
      <c r="F266" s="173"/>
      <c r="G266" s="18"/>
      <c r="J266" s="18"/>
    </row>
    <row r="267" spans="1:12">
      <c r="A267" s="335"/>
      <c r="B267" s="18"/>
      <c r="C267" s="180"/>
      <c r="D267" s="185"/>
      <c r="E267" s="188"/>
      <c r="F267" s="18"/>
      <c r="G267" s="18"/>
      <c r="J267" s="18"/>
    </row>
    <row r="268" spans="1:12">
      <c r="A268" s="335"/>
      <c r="B268" s="18"/>
      <c r="C268" s="180"/>
      <c r="D268" s="185"/>
      <c r="E268" s="188"/>
      <c r="F268" s="18"/>
      <c r="G268" s="18"/>
      <c r="J268" s="18"/>
    </row>
    <row r="269" spans="1:12">
      <c r="A269" s="313"/>
      <c r="B269" s="317"/>
      <c r="C269" s="173"/>
      <c r="D269" s="173"/>
      <c r="E269" s="173"/>
      <c r="F269" s="180"/>
      <c r="G269" s="180"/>
      <c r="H269" s="179"/>
      <c r="I269" s="179"/>
      <c r="J269" s="18"/>
    </row>
    <row r="270" spans="1:12">
      <c r="A270" s="18"/>
      <c r="B270" s="18"/>
      <c r="C270" s="180"/>
      <c r="D270" s="189"/>
      <c r="E270" s="180"/>
      <c r="F270" s="189"/>
      <c r="G270" s="180"/>
      <c r="H270" s="179"/>
      <c r="I270" s="179"/>
      <c r="J270" s="18"/>
    </row>
    <row r="271" spans="1:12">
      <c r="A271" s="335"/>
      <c r="B271" s="18"/>
      <c r="C271" s="186"/>
      <c r="D271" s="186"/>
      <c r="E271" s="186"/>
      <c r="F271" s="186"/>
      <c r="G271" s="186"/>
      <c r="H271" s="190"/>
      <c r="I271" s="190"/>
      <c r="J271" s="18"/>
    </row>
    <row r="272" spans="1:12">
      <c r="A272" s="18"/>
      <c r="B272" s="18"/>
      <c r="C272" s="186"/>
      <c r="D272" s="186"/>
      <c r="E272" s="186"/>
      <c r="F272" s="186"/>
      <c r="G272" s="186"/>
      <c r="H272" s="190"/>
      <c r="I272" s="190"/>
      <c r="J272" s="167"/>
      <c r="K272" s="189"/>
      <c r="L272" s="18"/>
    </row>
    <row r="273" spans="1:12">
      <c r="A273" s="18"/>
      <c r="B273" s="189"/>
      <c r="C273" s="167"/>
      <c r="D273" s="189"/>
      <c r="E273" s="189"/>
      <c r="F273" s="167"/>
      <c r="G273" s="186"/>
      <c r="H273" s="190"/>
      <c r="I273" s="190"/>
      <c r="J273" s="167"/>
      <c r="K273" s="189"/>
      <c r="L273" s="18"/>
    </row>
    <row r="274" spans="1:12">
      <c r="A274" s="18"/>
      <c r="B274" s="182"/>
      <c r="C274" s="182"/>
      <c r="D274" s="228"/>
      <c r="E274" s="228"/>
      <c r="F274" s="182"/>
      <c r="G274" s="186"/>
      <c r="H274" s="190"/>
      <c r="I274" s="190"/>
      <c r="J274" s="167"/>
      <c r="K274" s="189"/>
      <c r="L274" s="18"/>
    </row>
    <row r="275" spans="1:12">
      <c r="A275" s="18"/>
      <c r="B275" s="182"/>
      <c r="C275" s="182"/>
      <c r="D275" s="228"/>
      <c r="E275" s="228"/>
      <c r="F275" s="182"/>
      <c r="G275" s="186"/>
      <c r="H275" s="190"/>
      <c r="I275" s="190"/>
      <c r="J275" s="167"/>
      <c r="K275" s="189"/>
      <c r="L275" s="18"/>
    </row>
    <row r="276" spans="1:12">
      <c r="A276" s="18"/>
      <c r="B276" s="182"/>
      <c r="C276" s="182"/>
      <c r="D276" s="228"/>
      <c r="E276" s="228"/>
      <c r="F276" s="182"/>
      <c r="G276" s="186"/>
      <c r="H276" s="190"/>
      <c r="I276" s="190"/>
      <c r="J276" s="167"/>
      <c r="K276" s="189"/>
      <c r="L276" s="18"/>
    </row>
    <row r="277" spans="1:12">
      <c r="A277" s="18"/>
      <c r="B277" s="182"/>
      <c r="C277" s="182"/>
      <c r="D277" s="228"/>
      <c r="E277" s="228"/>
      <c r="F277" s="182"/>
      <c r="G277" s="186"/>
      <c r="H277" s="190"/>
      <c r="I277" s="190"/>
      <c r="J277" s="167"/>
      <c r="K277" s="189"/>
      <c r="L277" s="18"/>
    </row>
    <row r="278" spans="1:12">
      <c r="A278" s="18"/>
      <c r="B278" s="182"/>
      <c r="C278" s="182"/>
      <c r="D278" s="228"/>
      <c r="E278" s="228"/>
      <c r="F278" s="182"/>
      <c r="G278" s="186"/>
      <c r="H278" s="190"/>
      <c r="I278" s="190"/>
      <c r="J278" s="167"/>
      <c r="K278" s="189"/>
      <c r="L278" s="18"/>
    </row>
    <row r="279" spans="1:12">
      <c r="A279" s="18"/>
      <c r="B279" s="182"/>
      <c r="C279" s="182"/>
      <c r="D279" s="228"/>
      <c r="E279" s="228"/>
      <c r="F279" s="182"/>
      <c r="G279" s="186"/>
      <c r="H279" s="190"/>
      <c r="I279" s="190"/>
      <c r="J279" s="167"/>
      <c r="K279" s="189"/>
      <c r="L279" s="18"/>
    </row>
    <row r="280" spans="1:12" ht="15" hidden="1" customHeight="1">
      <c r="A280" s="18"/>
      <c r="B280" s="182"/>
      <c r="C280" s="182"/>
      <c r="D280" s="228"/>
      <c r="E280" s="228"/>
      <c r="F280" s="182"/>
      <c r="G280" s="186"/>
      <c r="H280" s="190"/>
      <c r="I280" s="190"/>
      <c r="J280" s="167"/>
      <c r="K280" s="189"/>
      <c r="L280" s="18"/>
    </row>
    <row r="281" spans="1:12" ht="15" hidden="1" customHeight="1">
      <c r="A281" s="18"/>
      <c r="B281" s="182"/>
      <c r="C281" s="182"/>
      <c r="D281" s="228"/>
      <c r="E281" s="228"/>
      <c r="F281" s="182"/>
      <c r="G281" s="186"/>
      <c r="H281" s="190"/>
      <c r="I281" s="190"/>
      <c r="J281" s="167"/>
      <c r="K281" s="189"/>
      <c r="L281" s="18"/>
    </row>
    <row r="282" spans="1:12">
      <c r="A282" s="18"/>
      <c r="B282" s="182"/>
      <c r="C282" s="182"/>
      <c r="D282" s="228"/>
      <c r="E282" s="228"/>
      <c r="F282" s="182"/>
      <c r="G282" s="186"/>
      <c r="H282" s="190"/>
      <c r="I282" s="190"/>
      <c r="J282" s="167"/>
      <c r="K282" s="189"/>
      <c r="L282" s="18"/>
    </row>
    <row r="283" spans="1:12">
      <c r="A283" s="18"/>
      <c r="B283" s="182"/>
      <c r="C283" s="182"/>
      <c r="D283" s="228"/>
      <c r="E283" s="228"/>
      <c r="F283" s="182"/>
      <c r="G283" s="186"/>
      <c r="H283" s="190"/>
      <c r="I283" s="190"/>
      <c r="J283" s="167"/>
      <c r="K283" s="189"/>
      <c r="L283" s="18"/>
    </row>
    <row r="284" spans="1:12">
      <c r="A284" s="18"/>
      <c r="B284" s="182"/>
      <c r="C284" s="182"/>
      <c r="D284" s="228"/>
      <c r="E284" s="228"/>
      <c r="F284" s="182"/>
      <c r="G284" s="186"/>
      <c r="H284" s="190"/>
      <c r="I284" s="190"/>
      <c r="J284" s="167"/>
      <c r="K284" s="189"/>
      <c r="L284" s="18"/>
    </row>
    <row r="285" spans="1:12">
      <c r="A285" s="18"/>
      <c r="B285" s="182"/>
      <c r="C285" s="182"/>
      <c r="D285" s="228"/>
      <c r="E285" s="228"/>
      <c r="F285" s="182"/>
      <c r="G285" s="186"/>
      <c r="H285" s="190"/>
      <c r="I285" s="190"/>
      <c r="J285" s="167"/>
      <c r="K285" s="189"/>
      <c r="L285" s="18"/>
    </row>
    <row r="286" spans="1:12">
      <c r="A286" s="18"/>
      <c r="B286" s="182"/>
      <c r="C286" s="182"/>
      <c r="D286" s="228"/>
      <c r="E286" s="228"/>
      <c r="F286" s="182"/>
      <c r="G286" s="186"/>
      <c r="H286" s="190"/>
      <c r="I286" s="190"/>
      <c r="J286" s="167"/>
      <c r="K286" s="189"/>
      <c r="L286" s="18"/>
    </row>
    <row r="287" spans="1:12">
      <c r="A287" s="18"/>
      <c r="B287" s="182"/>
      <c r="C287" s="182"/>
      <c r="D287" s="228"/>
      <c r="E287" s="228"/>
      <c r="F287" s="182"/>
      <c r="G287" s="186"/>
      <c r="H287" s="190"/>
      <c r="I287" s="190"/>
      <c r="J287" s="167"/>
      <c r="K287" s="189"/>
      <c r="L287" s="18"/>
    </row>
    <row r="288" spans="1:12">
      <c r="A288" s="18"/>
      <c r="B288" s="182"/>
      <c r="C288" s="182"/>
      <c r="D288" s="228"/>
      <c r="E288" s="228"/>
      <c r="F288" s="182"/>
      <c r="G288" s="186"/>
      <c r="H288" s="190"/>
      <c r="I288" s="190"/>
      <c r="J288" s="167"/>
      <c r="K288" s="189"/>
      <c r="L288" s="18"/>
    </row>
    <row r="289" spans="1:12">
      <c r="A289" s="18"/>
      <c r="B289" s="182"/>
      <c r="C289" s="182"/>
      <c r="D289" s="228"/>
      <c r="E289" s="228"/>
      <c r="F289" s="182"/>
      <c r="G289" s="186"/>
      <c r="H289" s="190"/>
      <c r="I289" s="190"/>
      <c r="J289" s="167"/>
      <c r="K289" s="189"/>
      <c r="L289" s="18"/>
    </row>
    <row r="290" spans="1:12">
      <c r="A290" s="18"/>
      <c r="B290" s="182"/>
      <c r="C290" s="182"/>
      <c r="D290" s="228"/>
      <c r="E290" s="228"/>
      <c r="F290" s="182"/>
      <c r="G290" s="186"/>
      <c r="H290" s="190"/>
      <c r="I290" s="190"/>
      <c r="J290" s="167"/>
      <c r="K290" s="189"/>
      <c r="L290" s="18"/>
    </row>
    <row r="291" spans="1:12">
      <c r="A291" s="18"/>
      <c r="B291" s="182"/>
      <c r="C291" s="182"/>
      <c r="D291" s="228"/>
      <c r="E291" s="228"/>
      <c r="F291" s="182"/>
      <c r="G291" s="186"/>
      <c r="H291" s="190"/>
      <c r="I291" s="190"/>
      <c r="J291" s="167"/>
      <c r="K291" s="189"/>
      <c r="L291" s="18"/>
    </row>
    <row r="292" spans="1:12">
      <c r="A292" s="18"/>
      <c r="B292" s="182"/>
      <c r="C292" s="182"/>
      <c r="D292" s="228"/>
      <c r="E292" s="228"/>
      <c r="F292" s="182"/>
      <c r="G292" s="186"/>
      <c r="H292" s="190"/>
      <c r="I292" s="190"/>
      <c r="J292" s="167"/>
      <c r="K292" s="189"/>
      <c r="L292" s="18"/>
    </row>
    <row r="293" spans="1:12">
      <c r="A293" s="18"/>
      <c r="B293" s="182"/>
      <c r="C293" s="182"/>
      <c r="D293" s="228"/>
      <c r="E293" s="228"/>
      <c r="F293" s="182"/>
      <c r="G293" s="186"/>
      <c r="H293" s="190"/>
      <c r="I293" s="190"/>
      <c r="J293" s="167"/>
      <c r="K293" s="189"/>
      <c r="L293" s="18"/>
    </row>
    <row r="294" spans="1:12">
      <c r="A294" s="18"/>
      <c r="B294" s="182"/>
      <c r="C294" s="182"/>
      <c r="D294" s="228"/>
      <c r="E294" s="228"/>
      <c r="F294" s="182"/>
      <c r="G294" s="186"/>
      <c r="H294" s="190"/>
      <c r="I294" s="190"/>
      <c r="J294" s="167"/>
      <c r="K294" s="189"/>
      <c r="L294" s="18"/>
    </row>
    <row r="295" spans="1:12">
      <c r="A295" s="18"/>
      <c r="B295" s="182"/>
      <c r="C295" s="182"/>
      <c r="D295" s="228"/>
      <c r="E295" s="228"/>
      <c r="F295" s="182"/>
      <c r="G295" s="186"/>
      <c r="H295" s="190"/>
      <c r="I295" s="190"/>
      <c r="J295" s="167"/>
      <c r="K295" s="189"/>
      <c r="L295" s="18"/>
    </row>
    <row r="296" spans="1:12">
      <c r="A296" s="18"/>
      <c r="B296" s="182"/>
      <c r="C296" s="182"/>
      <c r="D296" s="228"/>
      <c r="E296" s="228"/>
      <c r="F296" s="182"/>
      <c r="G296" s="186"/>
      <c r="H296" s="190"/>
      <c r="I296" s="190"/>
      <c r="J296" s="167"/>
      <c r="K296" s="189"/>
      <c r="L296" s="18"/>
    </row>
    <row r="297" spans="1:12">
      <c r="A297" s="18"/>
      <c r="B297" s="18"/>
      <c r="C297" s="186"/>
      <c r="D297" s="186"/>
      <c r="E297" s="186"/>
      <c r="F297" s="185"/>
      <c r="G297" s="173"/>
      <c r="H297" s="190"/>
      <c r="I297" s="190"/>
      <c r="J297" s="167"/>
      <c r="K297" s="189"/>
      <c r="L297" s="18"/>
    </row>
    <row r="298" spans="1:12">
      <c r="A298" s="18"/>
      <c r="B298" s="18"/>
      <c r="C298" s="186"/>
      <c r="D298" s="186"/>
      <c r="E298" s="186"/>
      <c r="F298" s="186"/>
      <c r="G298" s="186"/>
      <c r="H298" s="190"/>
      <c r="I298" s="190"/>
      <c r="J298" s="167"/>
      <c r="K298" s="189"/>
      <c r="L298" s="18"/>
    </row>
    <row r="299" spans="1:12">
      <c r="A299" s="335"/>
      <c r="B299" s="18"/>
      <c r="C299" s="193"/>
      <c r="D299" s="171"/>
      <c r="E299" s="189"/>
      <c r="F299" s="194"/>
      <c r="G299" s="181"/>
      <c r="H299" s="18"/>
      <c r="I299" s="18"/>
      <c r="J299" s="182"/>
      <c r="K299" s="228"/>
      <c r="L299" s="18"/>
    </row>
    <row r="300" spans="1:12">
      <c r="A300" s="18"/>
      <c r="B300" s="18"/>
      <c r="C300" s="193"/>
      <c r="D300" s="171"/>
      <c r="E300" s="189"/>
      <c r="F300" s="194"/>
      <c r="G300" s="181"/>
      <c r="H300" s="18"/>
      <c r="I300" s="18"/>
      <c r="J300" s="182"/>
      <c r="K300" s="228"/>
      <c r="L300" s="18"/>
    </row>
    <row r="301" spans="1:12">
      <c r="A301" s="18"/>
      <c r="B301" s="18"/>
      <c r="C301" s="193"/>
      <c r="D301" s="185"/>
      <c r="E301" s="173"/>
      <c r="F301" s="194"/>
      <c r="G301" s="181"/>
      <c r="H301" s="18"/>
      <c r="I301" s="18"/>
      <c r="J301" s="182"/>
      <c r="K301" s="228"/>
      <c r="L301" s="18"/>
    </row>
    <row r="302" spans="1:12">
      <c r="A302" s="18"/>
      <c r="B302" s="18"/>
      <c r="C302" s="193"/>
      <c r="D302" s="171"/>
      <c r="E302" s="189"/>
      <c r="F302" s="194"/>
      <c r="G302" s="181"/>
      <c r="H302" s="18"/>
      <c r="I302" s="18"/>
      <c r="J302" s="182"/>
      <c r="K302" s="228"/>
      <c r="L302" s="18"/>
    </row>
    <row r="303" spans="1:12">
      <c r="A303" s="335"/>
      <c r="B303" s="18"/>
      <c r="C303" s="193"/>
      <c r="D303" s="171"/>
      <c r="E303" s="189"/>
      <c r="F303" s="194"/>
      <c r="G303" s="181"/>
      <c r="H303" s="18"/>
      <c r="I303" s="18"/>
      <c r="J303" s="182"/>
      <c r="K303" s="228"/>
      <c r="L303" s="18"/>
    </row>
    <row r="304" spans="1:12">
      <c r="A304" s="18"/>
      <c r="B304" s="18"/>
      <c r="C304" s="193"/>
      <c r="D304" s="171"/>
      <c r="E304" s="189"/>
      <c r="F304" s="194"/>
      <c r="G304" s="181"/>
      <c r="H304" s="18"/>
      <c r="I304" s="18"/>
      <c r="J304" s="182"/>
      <c r="K304" s="228"/>
      <c r="L304" s="18"/>
    </row>
    <row r="305" spans="1:13">
      <c r="A305" s="18"/>
      <c r="B305" s="18"/>
      <c r="C305" s="193"/>
      <c r="D305" s="185"/>
      <c r="E305" s="173"/>
      <c r="F305" s="194"/>
      <c r="G305" s="181"/>
      <c r="H305" s="18"/>
      <c r="I305" s="18"/>
      <c r="J305" s="182"/>
      <c r="K305" s="228"/>
      <c r="L305" s="18"/>
    </row>
    <row r="306" spans="1:13">
      <c r="A306" s="18"/>
      <c r="B306" s="18"/>
      <c r="C306" s="193"/>
      <c r="D306" s="171"/>
      <c r="E306" s="189"/>
      <c r="F306" s="194"/>
      <c r="G306" s="181"/>
      <c r="H306" s="18"/>
      <c r="I306" s="18"/>
      <c r="J306" s="182"/>
      <c r="K306" s="228"/>
      <c r="L306" s="18"/>
    </row>
    <row r="307" spans="1:13">
      <c r="A307" s="335"/>
      <c r="B307" s="304"/>
      <c r="C307" s="304"/>
      <c r="D307" s="304"/>
      <c r="E307" s="304"/>
      <c r="F307" s="304"/>
      <c r="G307" s="304"/>
      <c r="H307" s="18"/>
      <c r="I307" s="18"/>
      <c r="J307" s="198"/>
      <c r="K307" s="195"/>
      <c r="L307" s="18"/>
      <c r="M307" s="18"/>
    </row>
    <row r="308" spans="1:13">
      <c r="A308" s="335"/>
      <c r="B308" s="304"/>
      <c r="C308" s="304"/>
      <c r="D308" s="304"/>
      <c r="E308" s="304"/>
      <c r="F308" s="304"/>
      <c r="G308" s="304"/>
      <c r="H308" s="18"/>
      <c r="I308" s="18"/>
      <c r="J308" s="198"/>
      <c r="K308" s="195"/>
      <c r="L308" s="18"/>
      <c r="M308" s="18"/>
    </row>
    <row r="309" spans="1:13">
      <c r="A309" s="18"/>
      <c r="B309" s="18"/>
      <c r="C309" s="193"/>
      <c r="D309" s="171"/>
      <c r="E309" s="212"/>
      <c r="F309" s="196"/>
      <c r="G309" s="181"/>
      <c r="H309" s="18"/>
      <c r="I309" s="18"/>
      <c r="J309" s="198"/>
      <c r="K309" s="195"/>
      <c r="L309" s="18"/>
      <c r="M309" s="18"/>
    </row>
    <row r="310" spans="1:13">
      <c r="A310" s="18"/>
      <c r="B310" s="18"/>
      <c r="C310" s="193"/>
      <c r="D310" s="185"/>
      <c r="E310" s="173"/>
      <c r="F310" s="196"/>
      <c r="G310" s="181"/>
      <c r="H310" s="18"/>
      <c r="I310" s="18"/>
      <c r="J310" s="198"/>
      <c r="K310" s="195"/>
      <c r="L310" s="18"/>
      <c r="M310" s="18"/>
    </row>
    <row r="311" spans="1:13">
      <c r="A311" s="18"/>
      <c r="B311" s="18"/>
      <c r="C311" s="193"/>
      <c r="D311" s="171"/>
      <c r="E311" s="212"/>
      <c r="F311" s="196"/>
      <c r="G311" s="181"/>
      <c r="H311" s="18"/>
      <c r="I311" s="18"/>
      <c r="J311" s="189"/>
      <c r="K311" s="195"/>
      <c r="L311" s="18"/>
      <c r="M311" s="18"/>
    </row>
    <row r="312" spans="1:13">
      <c r="A312" s="335"/>
      <c r="B312" s="18"/>
      <c r="C312" s="193"/>
      <c r="D312" s="193"/>
      <c r="E312" s="167"/>
      <c r="F312" s="218"/>
      <c r="G312" s="239"/>
      <c r="H312" s="194"/>
      <c r="I312" s="194"/>
      <c r="J312" s="198"/>
      <c r="K312" s="195"/>
      <c r="L312" s="18"/>
      <c r="M312" s="18"/>
    </row>
    <row r="313" spans="1:13">
      <c r="A313" s="18"/>
      <c r="B313" s="18"/>
      <c r="C313" s="193"/>
      <c r="D313" s="193"/>
      <c r="E313" s="18"/>
      <c r="F313" s="200"/>
      <c r="G313" s="18"/>
      <c r="H313" s="201"/>
      <c r="I313" s="201"/>
      <c r="J313" s="198"/>
      <c r="K313" s="203"/>
      <c r="L313" s="18"/>
      <c r="M313" s="18"/>
    </row>
    <row r="314" spans="1:13">
      <c r="A314" s="18"/>
      <c r="B314" s="189"/>
      <c r="C314" s="189"/>
      <c r="D314" s="189"/>
      <c r="E314" s="189"/>
      <c r="F314" s="167"/>
      <c r="G314" s="320"/>
      <c r="H314" s="300"/>
      <c r="I314" s="300"/>
      <c r="J314" s="198"/>
      <c r="K314" s="18"/>
      <c r="L314" s="18"/>
      <c r="M314" s="18"/>
    </row>
    <row r="315" spans="1:13">
      <c r="A315" s="18"/>
      <c r="B315" s="182"/>
      <c r="C315" s="182"/>
      <c r="D315" s="189"/>
      <c r="E315" s="189"/>
      <c r="F315" s="182"/>
      <c r="G315" s="320"/>
      <c r="H315" s="300"/>
      <c r="I315" s="300"/>
      <c r="J315" s="204"/>
      <c r="K315" s="18"/>
      <c r="L315" s="18"/>
      <c r="M315" s="18"/>
    </row>
    <row r="316" spans="1:13">
      <c r="A316" s="18"/>
      <c r="B316" s="182"/>
      <c r="C316" s="182"/>
      <c r="D316" s="189"/>
      <c r="E316" s="189"/>
      <c r="F316" s="182"/>
      <c r="G316" s="18"/>
      <c r="H316" s="193"/>
      <c r="I316" s="193"/>
      <c r="J316" s="198"/>
      <c r="K316" s="18"/>
      <c r="L316" s="18"/>
      <c r="M316" s="18"/>
    </row>
    <row r="317" spans="1:13">
      <c r="A317" s="18"/>
      <c r="B317" s="182"/>
      <c r="C317" s="182"/>
      <c r="D317" s="189"/>
      <c r="E317" s="189"/>
      <c r="F317" s="182"/>
      <c r="G317" s="174"/>
      <c r="H317" s="192"/>
      <c r="I317" s="192"/>
      <c r="J317" s="198"/>
      <c r="K317" s="18"/>
      <c r="L317" s="18"/>
      <c r="M317" s="18"/>
    </row>
    <row r="318" spans="1:13">
      <c r="A318" s="18"/>
      <c r="B318" s="189"/>
      <c r="C318" s="189"/>
      <c r="D318" s="189"/>
      <c r="E318" s="189"/>
      <c r="F318" s="182"/>
      <c r="G318" s="195"/>
      <c r="H318" s="205"/>
      <c r="I318" s="205"/>
      <c r="J318" s="207"/>
      <c r="K318" s="18"/>
      <c r="L318" s="18"/>
      <c r="M318" s="18"/>
    </row>
    <row r="319" spans="1:13">
      <c r="A319" s="18"/>
      <c r="B319" s="189"/>
      <c r="C319" s="189"/>
      <c r="D319" s="189"/>
      <c r="E319" s="189"/>
      <c r="F319" s="182"/>
      <c r="G319" s="195"/>
      <c r="H319" s="205"/>
      <c r="I319" s="205"/>
      <c r="J319" s="195"/>
      <c r="K319" s="195"/>
      <c r="L319" s="18"/>
      <c r="M319" s="18"/>
    </row>
    <row r="320" spans="1:13">
      <c r="A320" s="18"/>
      <c r="B320" s="189"/>
      <c r="C320" s="189"/>
      <c r="D320" s="189"/>
      <c r="E320" s="189"/>
      <c r="F320" s="182"/>
      <c r="G320" s="195"/>
      <c r="H320" s="205"/>
      <c r="I320" s="205"/>
      <c r="J320" s="195"/>
      <c r="K320" s="195"/>
      <c r="L320" s="18"/>
      <c r="M320" s="18"/>
    </row>
    <row r="321" spans="1:13">
      <c r="A321" s="18"/>
      <c r="B321" s="18"/>
      <c r="C321" s="193"/>
      <c r="D321" s="171"/>
      <c r="E321" s="195"/>
      <c r="F321" s="185"/>
      <c r="G321" s="173"/>
      <c r="H321" s="205"/>
      <c r="I321" s="205"/>
      <c r="J321" s="195"/>
      <c r="K321" s="195"/>
      <c r="L321" s="18"/>
      <c r="M321" s="18"/>
    </row>
    <row r="322" spans="1:13">
      <c r="A322" s="18"/>
      <c r="B322" s="18"/>
      <c r="C322" s="193"/>
      <c r="D322" s="171"/>
      <c r="E322" s="195"/>
      <c r="F322" s="195"/>
      <c r="G322" s="216"/>
      <c r="H322" s="205"/>
      <c r="I322" s="205"/>
      <c r="J322" s="195"/>
      <c r="K322" s="195"/>
      <c r="L322" s="18"/>
      <c r="M322" s="18"/>
    </row>
    <row r="323" spans="1:13">
      <c r="A323" s="335"/>
      <c r="B323" s="18"/>
      <c r="C323" s="193"/>
      <c r="D323" s="171"/>
      <c r="E323" s="195"/>
      <c r="F323" s="195"/>
      <c r="G323" s="216"/>
      <c r="H323" s="205"/>
      <c r="I323" s="205"/>
      <c r="J323" s="195"/>
      <c r="K323" s="195"/>
      <c r="L323" s="18"/>
      <c r="M323" s="18"/>
    </row>
    <row r="324" spans="1:13">
      <c r="A324" s="335"/>
      <c r="B324" s="18"/>
      <c r="C324" s="193"/>
      <c r="D324" s="171"/>
      <c r="E324" s="189"/>
      <c r="F324" s="195"/>
      <c r="G324" s="216"/>
      <c r="H324" s="205"/>
      <c r="I324" s="205"/>
      <c r="J324" s="195"/>
      <c r="K324" s="195"/>
      <c r="L324" s="18"/>
      <c r="M324" s="18"/>
    </row>
    <row r="325" spans="1:13">
      <c r="A325" s="335"/>
      <c r="B325" s="189"/>
      <c r="C325" s="189"/>
      <c r="D325" s="189"/>
      <c r="E325" s="189"/>
      <c r="F325" s="167"/>
      <c r="G325" s="216"/>
      <c r="H325" s="205"/>
      <c r="I325" s="205"/>
      <c r="J325" s="195"/>
      <c r="K325" s="195"/>
      <c r="L325" s="18"/>
      <c r="M325" s="18"/>
    </row>
    <row r="326" spans="1:13">
      <c r="A326" s="335"/>
      <c r="B326" s="182"/>
      <c r="C326" s="182"/>
      <c r="D326" s="189"/>
      <c r="E326" s="189"/>
      <c r="F326" s="182"/>
      <c r="G326" s="195"/>
      <c r="H326" s="205"/>
      <c r="I326" s="205"/>
      <c r="J326" s="18"/>
      <c r="K326" s="18"/>
      <c r="L326" s="18"/>
      <c r="M326" s="18"/>
    </row>
    <row r="327" spans="1:13">
      <c r="A327" s="335"/>
      <c r="B327" s="182"/>
      <c r="C327" s="182"/>
      <c r="D327" s="189"/>
      <c r="E327" s="189"/>
      <c r="F327" s="182"/>
      <c r="G327" s="195"/>
      <c r="H327" s="205"/>
      <c r="I327" s="205"/>
      <c r="J327" s="18"/>
      <c r="K327" s="18"/>
      <c r="L327" s="18"/>
      <c r="M327" s="18"/>
    </row>
    <row r="328" spans="1:13">
      <c r="A328" s="335"/>
      <c r="B328" s="18"/>
      <c r="C328" s="193"/>
      <c r="D328" s="171"/>
      <c r="E328" s="195"/>
      <c r="F328" s="185"/>
      <c r="G328" s="173"/>
      <c r="H328" s="205"/>
      <c r="I328" s="205"/>
      <c r="J328" s="18"/>
      <c r="K328" s="18"/>
      <c r="L328" s="18"/>
      <c r="M328" s="18"/>
    </row>
    <row r="329" spans="1:13">
      <c r="A329" s="335"/>
      <c r="B329" s="18"/>
      <c r="C329" s="193"/>
      <c r="D329" s="171"/>
      <c r="E329" s="195"/>
      <c r="F329" s="195"/>
      <c r="G329" s="174"/>
      <c r="H329" s="205"/>
      <c r="I329" s="205"/>
      <c r="J329" s="18"/>
      <c r="K329" s="18"/>
      <c r="L329" s="18"/>
      <c r="M329" s="18"/>
    </row>
    <row r="330" spans="1:13">
      <c r="A330" s="335"/>
      <c r="B330" s="18"/>
      <c r="C330" s="193"/>
      <c r="D330" s="171"/>
      <c r="E330" s="195"/>
      <c r="F330" s="195"/>
      <c r="G330" s="174"/>
      <c r="H330" s="205"/>
      <c r="I330" s="205"/>
      <c r="J330" s="18"/>
      <c r="K330" s="18"/>
      <c r="L330" s="18"/>
      <c r="M330" s="18"/>
    </row>
    <row r="331" spans="1:13">
      <c r="A331" s="335"/>
      <c r="B331" s="18"/>
      <c r="C331" s="193"/>
      <c r="D331" s="171"/>
      <c r="E331" s="195"/>
      <c r="F331" s="195"/>
      <c r="G331" s="174"/>
      <c r="H331" s="205"/>
      <c r="I331" s="205"/>
      <c r="J331" s="18"/>
      <c r="K331" s="18"/>
      <c r="L331" s="18"/>
      <c r="M331" s="18"/>
    </row>
    <row r="332" spans="1:13">
      <c r="A332" s="335"/>
      <c r="B332" s="189"/>
      <c r="C332" s="189"/>
      <c r="D332" s="167"/>
      <c r="E332" s="195"/>
      <c r="F332" s="195"/>
      <c r="G332" s="174"/>
      <c r="H332" s="205"/>
      <c r="I332" s="205"/>
      <c r="J332" s="18"/>
      <c r="K332" s="18"/>
      <c r="L332" s="18"/>
      <c r="M332" s="18"/>
    </row>
    <row r="333" spans="1:13">
      <c r="A333" s="335"/>
      <c r="B333" s="182"/>
      <c r="C333" s="189"/>
      <c r="D333" s="182"/>
      <c r="E333" s="195"/>
      <c r="F333" s="195"/>
      <c r="G333" s="174"/>
      <c r="H333" s="205"/>
      <c r="I333" s="205"/>
      <c r="J333" s="18"/>
      <c r="K333" s="18"/>
      <c r="L333" s="18"/>
      <c r="M333" s="18"/>
    </row>
    <row r="334" spans="1:13">
      <c r="A334" s="335"/>
      <c r="B334" s="182"/>
      <c r="C334" s="189"/>
      <c r="D334" s="182"/>
      <c r="E334" s="195"/>
      <c r="F334" s="195"/>
      <c r="G334" s="174"/>
      <c r="H334" s="205"/>
      <c r="I334" s="205"/>
      <c r="J334" s="18"/>
      <c r="K334" s="18"/>
      <c r="L334" s="18"/>
      <c r="M334" s="18"/>
    </row>
    <row r="335" spans="1:13">
      <c r="A335" s="335"/>
      <c r="B335" s="182"/>
      <c r="C335" s="189"/>
      <c r="D335" s="182"/>
      <c r="E335" s="195"/>
      <c r="F335" s="195"/>
      <c r="G335" s="174"/>
      <c r="H335" s="205"/>
      <c r="I335" s="205"/>
      <c r="J335" s="18"/>
      <c r="K335" s="18"/>
      <c r="L335" s="18"/>
      <c r="M335" s="18"/>
    </row>
    <row r="336" spans="1:13">
      <c r="A336" s="335"/>
      <c r="B336" s="182"/>
      <c r="C336" s="189"/>
      <c r="D336" s="182"/>
      <c r="E336" s="195"/>
      <c r="F336" s="195"/>
      <c r="G336" s="174"/>
      <c r="H336" s="205"/>
      <c r="I336" s="205"/>
      <c r="J336" s="18"/>
      <c r="K336" s="18"/>
      <c r="L336" s="18"/>
      <c r="M336" s="18"/>
    </row>
    <row r="337" spans="1:13">
      <c r="A337" s="335"/>
      <c r="B337" s="182"/>
      <c r="C337" s="189"/>
      <c r="D337" s="182"/>
      <c r="E337" s="195"/>
      <c r="F337" s="195"/>
      <c r="G337" s="174"/>
      <c r="H337" s="205"/>
      <c r="I337" s="205"/>
      <c r="J337" s="18"/>
      <c r="K337" s="18"/>
      <c r="L337" s="18"/>
      <c r="M337" s="18"/>
    </row>
    <row r="338" spans="1:13">
      <c r="A338" s="335"/>
      <c r="B338" s="18"/>
      <c r="C338" s="193"/>
      <c r="D338" s="185"/>
      <c r="E338" s="173"/>
      <c r="F338" s="195"/>
      <c r="G338" s="174"/>
      <c r="H338" s="205"/>
      <c r="I338" s="205"/>
      <c r="J338" s="18"/>
      <c r="K338" s="18"/>
      <c r="L338" s="18"/>
      <c r="M338" s="18"/>
    </row>
    <row r="339" spans="1:13">
      <c r="A339" s="335"/>
      <c r="B339" s="18"/>
      <c r="C339" s="193"/>
      <c r="D339" s="171"/>
      <c r="E339" s="195"/>
      <c r="F339" s="195"/>
      <c r="G339" s="174"/>
      <c r="H339" s="205"/>
      <c r="I339" s="205"/>
      <c r="J339" s="18"/>
      <c r="K339" s="18"/>
      <c r="L339" s="18"/>
      <c r="M339" s="18"/>
    </row>
    <row r="340" spans="1:13">
      <c r="A340" s="335"/>
      <c r="B340" s="18"/>
      <c r="C340" s="193"/>
      <c r="D340" s="171"/>
      <c r="E340" s="195"/>
      <c r="F340" s="195"/>
      <c r="G340" s="174"/>
      <c r="H340" s="205"/>
      <c r="I340" s="205"/>
      <c r="J340" s="18"/>
      <c r="K340" s="18"/>
      <c r="L340" s="18"/>
      <c r="M340" s="18"/>
    </row>
    <row r="341" spans="1:13">
      <c r="A341" s="18"/>
      <c r="B341" s="18"/>
      <c r="C341" s="193"/>
      <c r="D341" s="171"/>
      <c r="E341" s="195"/>
      <c r="F341" s="195"/>
      <c r="G341" s="174"/>
      <c r="H341" s="205"/>
      <c r="I341" s="205"/>
      <c r="J341" s="18"/>
      <c r="K341" s="18"/>
      <c r="L341" s="18"/>
      <c r="M341" s="18"/>
    </row>
    <row r="342" spans="1:13">
      <c r="A342" s="18"/>
      <c r="B342" s="189"/>
      <c r="C342" s="167"/>
      <c r="D342" s="189"/>
      <c r="E342" s="167"/>
      <c r="F342" s="195"/>
      <c r="G342" s="174"/>
      <c r="H342" s="205"/>
      <c r="I342" s="205"/>
      <c r="J342" s="18"/>
      <c r="K342" s="18"/>
      <c r="L342" s="18"/>
      <c r="M342" s="18"/>
    </row>
    <row r="343" spans="1:13">
      <c r="A343" s="18"/>
      <c r="B343" s="182"/>
      <c r="C343" s="182"/>
      <c r="D343" s="189"/>
      <c r="E343" s="182"/>
      <c r="F343" s="195"/>
      <c r="G343" s="174"/>
      <c r="H343" s="205"/>
      <c r="I343" s="205"/>
      <c r="J343" s="18"/>
      <c r="K343" s="18"/>
      <c r="L343" s="18"/>
      <c r="M343" s="18"/>
    </row>
    <row r="344" spans="1:13">
      <c r="A344" s="18"/>
      <c r="B344" s="182"/>
      <c r="C344" s="182"/>
      <c r="D344" s="189"/>
      <c r="E344" s="182"/>
      <c r="F344" s="208"/>
      <c r="G344" s="208"/>
      <c r="H344" s="205"/>
      <c r="I344" s="205"/>
      <c r="J344" s="18"/>
      <c r="K344" s="18"/>
      <c r="L344" s="18"/>
      <c r="M344" s="18"/>
    </row>
    <row r="345" spans="1:13">
      <c r="A345" s="18"/>
      <c r="B345" s="18"/>
      <c r="C345" s="18"/>
      <c r="D345" s="193"/>
      <c r="E345" s="185"/>
      <c r="F345" s="173"/>
      <c r="G345" s="208"/>
      <c r="H345" s="205"/>
      <c r="I345" s="205"/>
      <c r="J345" s="18"/>
      <c r="K345" s="18"/>
      <c r="L345" s="18"/>
      <c r="M345" s="18"/>
    </row>
    <row r="346" spans="1:13">
      <c r="A346" s="18"/>
      <c r="B346" s="18"/>
      <c r="C346" s="193"/>
      <c r="D346" s="171"/>
      <c r="E346" s="178"/>
      <c r="F346" s="199"/>
      <c r="G346" s="208"/>
      <c r="H346" s="205"/>
      <c r="I346" s="205"/>
      <c r="J346" s="18"/>
      <c r="K346" s="18"/>
      <c r="L346" s="18"/>
      <c r="M346" s="18"/>
    </row>
    <row r="347" spans="1:13">
      <c r="A347" s="18"/>
      <c r="B347" s="18"/>
      <c r="C347" s="193"/>
      <c r="D347" s="171"/>
      <c r="E347" s="178"/>
      <c r="F347" s="199"/>
      <c r="G347" s="208"/>
      <c r="H347" s="205"/>
      <c r="I347" s="205"/>
      <c r="J347" s="18"/>
      <c r="K347" s="18"/>
      <c r="L347" s="18"/>
      <c r="M347" s="18"/>
    </row>
    <row r="348" spans="1:13">
      <c r="A348" s="313"/>
      <c r="B348" s="317"/>
      <c r="C348" s="193"/>
      <c r="D348" s="193"/>
      <c r="E348" s="209"/>
      <c r="F348" s="210"/>
      <c r="G348" s="211"/>
      <c r="H348" s="194"/>
      <c r="I348" s="194"/>
      <c r="J348" s="18"/>
      <c r="K348" s="18"/>
      <c r="L348" s="18"/>
      <c r="M348" s="18"/>
    </row>
    <row r="349" spans="1:13">
      <c r="A349" s="18"/>
      <c r="B349" s="18"/>
      <c r="C349" s="193"/>
      <c r="D349" s="193"/>
      <c r="E349" s="209"/>
      <c r="F349" s="210"/>
      <c r="G349" s="211"/>
      <c r="H349" s="194"/>
      <c r="I349" s="194"/>
      <c r="J349" s="18"/>
      <c r="K349" s="18"/>
      <c r="L349" s="18"/>
      <c r="M349" s="18"/>
    </row>
    <row r="350" spans="1:13">
      <c r="A350" s="335"/>
      <c r="B350" s="304"/>
      <c r="C350" s="304"/>
      <c r="D350" s="304"/>
      <c r="E350" s="304"/>
      <c r="F350" s="304"/>
      <c r="G350" s="304"/>
      <c r="H350" s="321"/>
      <c r="I350" s="321"/>
      <c r="J350" s="18"/>
      <c r="K350" s="18"/>
      <c r="L350" s="18"/>
      <c r="M350" s="18"/>
    </row>
    <row r="351" spans="1:13">
      <c r="A351" s="335"/>
      <c r="B351" s="304"/>
      <c r="C351" s="304"/>
      <c r="D351" s="304"/>
      <c r="E351" s="304"/>
      <c r="F351" s="304"/>
      <c r="G351" s="304"/>
      <c r="H351" s="321"/>
      <c r="I351" s="321"/>
      <c r="J351" s="18"/>
      <c r="K351" s="18"/>
      <c r="L351" s="18"/>
      <c r="M351" s="18"/>
    </row>
    <row r="352" spans="1:13">
      <c r="A352" s="18"/>
      <c r="B352" s="321"/>
      <c r="C352" s="321"/>
      <c r="D352" s="321"/>
      <c r="E352" s="321"/>
      <c r="F352" s="321"/>
      <c r="G352" s="321"/>
      <c r="H352" s="321"/>
      <c r="I352" s="321"/>
      <c r="J352" s="18"/>
      <c r="K352" s="18"/>
      <c r="L352" s="18"/>
      <c r="M352" s="18"/>
    </row>
    <row r="353" spans="1:13">
      <c r="A353" s="18"/>
      <c r="B353" s="336"/>
      <c r="C353" s="337"/>
      <c r="D353" s="301"/>
      <c r="E353" s="301"/>
      <c r="F353" s="301"/>
      <c r="G353" s="301"/>
      <c r="H353" s="301"/>
      <c r="I353" s="301"/>
      <c r="J353" s="175"/>
      <c r="K353" s="175"/>
      <c r="L353" s="175"/>
      <c r="M353" s="18"/>
    </row>
    <row r="354" spans="1:13">
      <c r="A354" s="18"/>
      <c r="B354" s="301"/>
      <c r="C354" s="301"/>
      <c r="D354" s="180"/>
      <c r="E354" s="180"/>
      <c r="F354" s="196"/>
      <c r="G354" s="180"/>
      <c r="H354" s="196"/>
      <c r="I354" s="196"/>
      <c r="J354" s="180"/>
      <c r="K354" s="180"/>
      <c r="L354" s="180"/>
      <c r="M354" s="180"/>
    </row>
    <row r="355" spans="1:13">
      <c r="A355" s="335"/>
      <c r="B355" s="18"/>
      <c r="C355" s="335"/>
      <c r="D355" s="189"/>
      <c r="E355" s="213"/>
      <c r="F355" s="213"/>
      <c r="G355" s="213"/>
      <c r="H355" s="196"/>
      <c r="I355" s="196"/>
      <c r="J355" s="180"/>
      <c r="K355" s="180"/>
      <c r="L355" s="189"/>
      <c r="M355" s="180"/>
    </row>
    <row r="356" spans="1:13">
      <c r="A356" s="18"/>
      <c r="B356" s="301"/>
      <c r="C356" s="171"/>
      <c r="D356" s="189"/>
      <c r="E356" s="213"/>
      <c r="F356" s="213"/>
      <c r="G356" s="213"/>
      <c r="H356" s="196"/>
      <c r="I356" s="196"/>
      <c r="J356" s="180"/>
      <c r="K356" s="180"/>
      <c r="L356" s="189"/>
      <c r="M356" s="180"/>
    </row>
    <row r="357" spans="1:13">
      <c r="A357" s="18"/>
      <c r="B357" s="336"/>
      <c r="C357" s="337"/>
      <c r="D357" s="189"/>
      <c r="E357" s="213"/>
      <c r="F357" s="213"/>
      <c r="G357" s="213"/>
      <c r="H357" s="196"/>
      <c r="I357" s="196"/>
      <c r="J357" s="180"/>
      <c r="K357" s="180"/>
      <c r="L357" s="189"/>
      <c r="M357" s="180"/>
    </row>
    <row r="358" spans="1:13">
      <c r="A358" s="18"/>
      <c r="B358" s="301"/>
      <c r="C358" s="171"/>
      <c r="D358" s="189"/>
      <c r="E358" s="213"/>
      <c r="F358" s="213"/>
      <c r="G358" s="213"/>
      <c r="H358" s="196"/>
      <c r="I358" s="196"/>
      <c r="J358" s="189"/>
      <c r="K358" s="180"/>
      <c r="L358" s="189"/>
      <c r="M358" s="180"/>
    </row>
    <row r="359" spans="1:13">
      <c r="A359" s="335"/>
      <c r="B359" s="18"/>
      <c r="C359" s="171"/>
      <c r="D359" s="189"/>
      <c r="E359" s="213"/>
      <c r="F359" s="213"/>
      <c r="G359" s="213"/>
      <c r="H359" s="196"/>
      <c r="I359" s="196"/>
      <c r="J359" s="180"/>
      <c r="K359" s="180"/>
      <c r="L359" s="189"/>
      <c r="M359" s="180"/>
    </row>
    <row r="360" spans="1:13">
      <c r="A360" s="18"/>
      <c r="B360" s="301"/>
      <c r="C360" s="171"/>
      <c r="D360" s="189"/>
      <c r="E360" s="213"/>
      <c r="F360" s="213"/>
      <c r="G360" s="213"/>
      <c r="H360" s="196"/>
      <c r="I360" s="196"/>
      <c r="J360" s="180"/>
      <c r="K360" s="180"/>
      <c r="L360" s="189"/>
      <c r="M360" s="18"/>
    </row>
    <row r="361" spans="1:13">
      <c r="A361" s="18"/>
      <c r="B361" s="336"/>
      <c r="C361" s="337"/>
      <c r="D361" s="189"/>
      <c r="E361" s="213"/>
      <c r="F361" s="213"/>
      <c r="G361" s="213"/>
      <c r="H361" s="196"/>
      <c r="I361" s="196"/>
      <c r="J361" s="180"/>
      <c r="K361" s="180"/>
      <c r="L361" s="189"/>
      <c r="M361" s="18"/>
    </row>
    <row r="362" spans="1:13">
      <c r="A362" s="18"/>
      <c r="B362" s="193"/>
      <c r="C362" s="171"/>
      <c r="D362" s="189"/>
      <c r="E362" s="213"/>
      <c r="F362" s="213"/>
      <c r="G362" s="213"/>
      <c r="H362" s="181"/>
      <c r="I362" s="181"/>
      <c r="J362" s="180"/>
      <c r="K362" s="180"/>
      <c r="L362" s="189"/>
      <c r="M362" s="18"/>
    </row>
    <row r="363" spans="1:13" ht="15" hidden="1" customHeight="1">
      <c r="A363" s="335"/>
      <c r="B363" s="18"/>
      <c r="C363" s="335"/>
      <c r="D363" s="189"/>
      <c r="E363" s="213"/>
      <c r="F363" s="213"/>
      <c r="G363" s="213"/>
      <c r="H363" s="181"/>
      <c r="I363" s="181"/>
      <c r="J363" s="189"/>
      <c r="K363" s="180"/>
      <c r="L363" s="189"/>
      <c r="M363" s="18"/>
    </row>
    <row r="364" spans="1:13" ht="15" hidden="1" customHeight="1">
      <c r="A364" s="18"/>
      <c r="B364" s="193"/>
      <c r="C364" s="171"/>
      <c r="D364" s="189"/>
      <c r="E364" s="213"/>
      <c r="F364" s="213"/>
      <c r="G364" s="213"/>
      <c r="H364" s="181"/>
      <c r="I364" s="181"/>
      <c r="J364" s="180"/>
      <c r="K364" s="180"/>
      <c r="L364" s="189"/>
      <c r="M364" s="18"/>
    </row>
    <row r="365" spans="1:13" ht="15" hidden="1" customHeight="1">
      <c r="A365" s="18"/>
      <c r="B365" s="336"/>
      <c r="C365" s="337"/>
      <c r="D365" s="189"/>
      <c r="E365" s="213"/>
      <c r="F365" s="213"/>
      <c r="G365" s="213"/>
      <c r="H365" s="181"/>
      <c r="I365" s="181"/>
      <c r="J365" s="180"/>
      <c r="K365" s="180"/>
      <c r="L365" s="189"/>
      <c r="M365" s="18"/>
    </row>
    <row r="366" spans="1:13" ht="15" hidden="1" customHeight="1">
      <c r="A366" s="18"/>
      <c r="B366" s="193"/>
      <c r="C366" s="171"/>
      <c r="D366" s="189"/>
      <c r="E366" s="213"/>
      <c r="F366" s="213"/>
      <c r="G366" s="213"/>
      <c r="H366" s="181"/>
      <c r="I366" s="181"/>
      <c r="J366" s="194"/>
      <c r="K366" s="181"/>
      <c r="L366" s="237"/>
      <c r="M366" s="202"/>
    </row>
    <row r="367" spans="1:13">
      <c r="A367" s="18"/>
      <c r="B367" s="193"/>
      <c r="C367" s="171"/>
      <c r="D367" s="189"/>
      <c r="E367" s="213"/>
      <c r="F367" s="213"/>
      <c r="G367" s="213"/>
      <c r="H367" s="181"/>
      <c r="I367" s="181"/>
      <c r="J367" s="194"/>
      <c r="K367" s="181"/>
      <c r="L367" s="237"/>
      <c r="M367" s="202"/>
    </row>
    <row r="368" spans="1:13">
      <c r="A368" s="313"/>
      <c r="B368" s="317"/>
      <c r="C368" s="171"/>
      <c r="D368" s="189"/>
      <c r="E368" s="213"/>
      <c r="F368" s="213"/>
      <c r="G368" s="213"/>
      <c r="H368" s="181"/>
      <c r="I368" s="181"/>
      <c r="J368" s="195"/>
      <c r="K368" s="213"/>
      <c r="L368" s="18"/>
      <c r="M368" s="18"/>
    </row>
    <row r="369" spans="1:13">
      <c r="A369" s="18"/>
      <c r="B369" s="193"/>
      <c r="C369" s="171"/>
      <c r="D369" s="189"/>
      <c r="E369" s="213"/>
      <c r="F369" s="213"/>
      <c r="G369" s="213"/>
      <c r="H369" s="181"/>
      <c r="I369" s="181"/>
      <c r="J369" s="194"/>
      <c r="K369" s="213"/>
      <c r="L369" s="18"/>
      <c r="M369" s="18"/>
    </row>
    <row r="370" spans="1:13">
      <c r="A370" s="335"/>
      <c r="B370" s="304"/>
      <c r="C370" s="304"/>
      <c r="D370" s="304"/>
      <c r="E370" s="304"/>
      <c r="F370" s="304"/>
      <c r="G370" s="304"/>
      <c r="H370" s="181"/>
      <c r="I370" s="181"/>
      <c r="J370" s="194"/>
      <c r="K370" s="213"/>
      <c r="L370" s="18"/>
      <c r="M370" s="18"/>
    </row>
    <row r="371" spans="1:13">
      <c r="A371" s="335"/>
      <c r="B371" s="304"/>
      <c r="C371" s="304"/>
      <c r="D371" s="304"/>
      <c r="E371" s="304"/>
      <c r="F371" s="304"/>
      <c r="G371" s="304"/>
      <c r="H371" s="181"/>
      <c r="I371" s="181"/>
      <c r="J371" s="194"/>
      <c r="K371" s="213"/>
      <c r="L371" s="18"/>
      <c r="M371" s="18"/>
    </row>
    <row r="372" spans="1:13">
      <c r="A372" s="335"/>
      <c r="B372" s="18"/>
      <c r="C372" s="335"/>
      <c r="D372" s="18"/>
      <c r="E372" s="335"/>
      <c r="F372" s="213"/>
      <c r="G372" s="213"/>
      <c r="H372" s="181"/>
      <c r="I372" s="181"/>
      <c r="J372" s="194"/>
      <c r="K372" s="213"/>
      <c r="L372" s="18"/>
      <c r="M372" s="18"/>
    </row>
    <row r="373" spans="1:13">
      <c r="A373" s="335"/>
      <c r="B373" s="189"/>
      <c r="C373" s="189"/>
      <c r="D373" s="18"/>
      <c r="E373" s="335"/>
      <c r="F373" s="213"/>
      <c r="G373" s="213"/>
      <c r="H373" s="181"/>
      <c r="I373" s="181"/>
      <c r="J373" s="194"/>
      <c r="K373" s="213"/>
      <c r="L373" s="18"/>
      <c r="M373" s="18"/>
    </row>
    <row r="374" spans="1:13">
      <c r="A374" s="18"/>
      <c r="B374" s="193"/>
      <c r="C374" s="189"/>
      <c r="D374" s="212"/>
      <c r="E374" s="213"/>
      <c r="F374" s="213"/>
      <c r="G374" s="213"/>
      <c r="H374" s="181"/>
      <c r="I374" s="181"/>
      <c r="J374" s="194"/>
      <c r="K374" s="213"/>
      <c r="L374" s="18"/>
      <c r="M374" s="18"/>
    </row>
    <row r="375" spans="1:13">
      <c r="A375" s="18"/>
      <c r="B375" s="193"/>
      <c r="C375" s="189"/>
      <c r="D375" s="212"/>
      <c r="E375" s="213"/>
      <c r="F375" s="213"/>
      <c r="G375" s="213"/>
      <c r="H375" s="181"/>
      <c r="I375" s="181"/>
      <c r="J375" s="194"/>
      <c r="K375" s="213"/>
      <c r="L375" s="18"/>
      <c r="M375" s="18"/>
    </row>
    <row r="376" spans="1:13">
      <c r="A376" s="18"/>
      <c r="B376" s="193"/>
      <c r="C376" s="185"/>
      <c r="D376" s="173"/>
      <c r="E376" s="213"/>
      <c r="F376" s="213"/>
      <c r="G376" s="213"/>
      <c r="H376" s="181"/>
      <c r="I376" s="181"/>
      <c r="J376" s="194"/>
      <c r="K376" s="213"/>
      <c r="L376" s="18"/>
      <c r="M376" s="18"/>
    </row>
    <row r="377" spans="1:13">
      <c r="A377" s="18"/>
      <c r="B377" s="193"/>
      <c r="C377" s="171"/>
      <c r="D377" s="212"/>
      <c r="E377" s="213"/>
      <c r="F377" s="213"/>
      <c r="G377" s="213"/>
      <c r="H377" s="181"/>
      <c r="I377" s="181"/>
      <c r="J377" s="194"/>
      <c r="K377" s="213"/>
      <c r="L377" s="18"/>
      <c r="M377" s="18"/>
    </row>
    <row r="378" spans="1:13">
      <c r="A378" s="335"/>
      <c r="B378" s="304"/>
      <c r="C378" s="304"/>
      <c r="D378" s="304"/>
      <c r="E378" s="304"/>
      <c r="F378" s="304"/>
      <c r="G378" s="304"/>
      <c r="H378" s="181"/>
      <c r="I378" s="181"/>
      <c r="J378" s="194"/>
      <c r="K378" s="213"/>
      <c r="L378" s="18"/>
      <c r="M378" s="18"/>
    </row>
    <row r="379" spans="1:13">
      <c r="A379" s="335"/>
      <c r="B379" s="304"/>
      <c r="C379" s="304"/>
      <c r="D379" s="304"/>
      <c r="E379" s="304"/>
      <c r="F379" s="304"/>
      <c r="G379" s="304"/>
      <c r="H379" s="181"/>
      <c r="I379" s="181"/>
      <c r="J379" s="194"/>
      <c r="K379" s="213"/>
      <c r="L379" s="18"/>
      <c r="M379" s="18"/>
    </row>
    <row r="380" spans="1:13">
      <c r="A380" s="18"/>
      <c r="B380" s="193"/>
      <c r="C380" s="171"/>
      <c r="D380" s="212"/>
      <c r="E380" s="213"/>
      <c r="F380" s="213"/>
      <c r="G380" s="213"/>
      <c r="H380" s="181"/>
      <c r="I380" s="181"/>
      <c r="J380" s="194"/>
      <c r="K380" s="213"/>
      <c r="L380" s="18"/>
      <c r="M380" s="18"/>
    </row>
    <row r="381" spans="1:13">
      <c r="A381" s="18"/>
      <c r="B381" s="189"/>
      <c r="C381" s="189"/>
      <c r="D381" s="212"/>
      <c r="E381" s="213"/>
      <c r="F381" s="213"/>
      <c r="G381" s="213"/>
      <c r="H381" s="181"/>
      <c r="I381" s="181"/>
      <c r="J381" s="194"/>
      <c r="K381" s="213"/>
      <c r="L381" s="18"/>
      <c r="M381" s="18"/>
    </row>
    <row r="382" spans="1:13">
      <c r="A382" s="18"/>
      <c r="B382" s="193"/>
      <c r="C382" s="185"/>
      <c r="D382" s="173"/>
      <c r="E382" s="213"/>
      <c r="F382" s="213"/>
      <c r="G382" s="213"/>
      <c r="H382" s="181"/>
      <c r="I382" s="181"/>
      <c r="J382" s="194"/>
      <c r="K382" s="213"/>
      <c r="L382" s="18"/>
      <c r="M382" s="18"/>
    </row>
    <row r="383" spans="1:13">
      <c r="A383" s="18"/>
      <c r="B383" s="193"/>
      <c r="C383" s="193"/>
      <c r="D383" s="167"/>
      <c r="E383" s="213"/>
      <c r="F383" s="213"/>
      <c r="G383" s="214"/>
      <c r="H383" s="181"/>
      <c r="I383" s="181"/>
      <c r="J383" s="194"/>
      <c r="K383" s="213"/>
      <c r="L383" s="18"/>
      <c r="M383" s="18"/>
    </row>
    <row r="384" spans="1:13">
      <c r="A384" s="335"/>
      <c r="B384" s="18"/>
      <c r="C384" s="193"/>
      <c r="D384" s="167"/>
      <c r="E384" s="213"/>
      <c r="F384" s="178"/>
      <c r="G384" s="214"/>
      <c r="H384" s="181"/>
      <c r="I384" s="181"/>
      <c r="J384" s="196"/>
      <c r="K384" s="213"/>
      <c r="L384" s="18"/>
      <c r="M384" s="18"/>
    </row>
    <row r="385" spans="1:13">
      <c r="A385" s="18"/>
      <c r="B385" s="193"/>
      <c r="C385" s="193"/>
      <c r="D385" s="167"/>
      <c r="E385" s="213"/>
      <c r="F385" s="178"/>
      <c r="G385" s="199"/>
      <c r="H385" s="181"/>
      <c r="I385" s="181"/>
      <c r="J385" s="196"/>
      <c r="K385" s="213"/>
      <c r="L385" s="18"/>
      <c r="M385" s="18"/>
    </row>
    <row r="386" spans="1:13">
      <c r="A386" s="18"/>
      <c r="B386" s="189"/>
      <c r="C386" s="189"/>
      <c r="D386" s="18"/>
      <c r="E386" s="213"/>
      <c r="F386" s="178"/>
      <c r="G386" s="199"/>
      <c r="H386" s="181"/>
      <c r="I386" s="181"/>
      <c r="J386" s="196"/>
      <c r="K386" s="213"/>
      <c r="L386" s="18"/>
      <c r="M386" s="18"/>
    </row>
    <row r="387" spans="1:13">
      <c r="A387" s="18"/>
      <c r="B387" s="193"/>
      <c r="C387" s="189"/>
      <c r="D387" s="212"/>
      <c r="E387" s="213"/>
      <c r="F387" s="178"/>
      <c r="G387" s="199"/>
      <c r="H387" s="181"/>
      <c r="I387" s="181"/>
      <c r="J387" s="196"/>
      <c r="K387" s="213"/>
      <c r="L387" s="18"/>
      <c r="M387" s="18"/>
    </row>
    <row r="388" spans="1:13">
      <c r="A388" s="18"/>
      <c r="B388" s="193"/>
      <c r="C388" s="189"/>
      <c r="D388" s="212"/>
      <c r="E388" s="213"/>
      <c r="F388" s="178"/>
      <c r="G388" s="199"/>
      <c r="H388" s="181"/>
      <c r="I388" s="181"/>
      <c r="J388" s="196"/>
      <c r="K388" s="213"/>
      <c r="L388" s="18"/>
      <c r="M388" s="18"/>
    </row>
    <row r="389" spans="1:13">
      <c r="A389" s="18"/>
      <c r="B389" s="193"/>
      <c r="C389" s="189"/>
      <c r="D389" s="212"/>
      <c r="E389" s="213"/>
      <c r="F389" s="178"/>
      <c r="G389" s="199"/>
      <c r="H389" s="181"/>
      <c r="I389" s="181"/>
      <c r="J389" s="196"/>
      <c r="K389" s="213"/>
      <c r="L389" s="18"/>
      <c r="M389" s="18"/>
    </row>
    <row r="390" spans="1:13">
      <c r="A390" s="18"/>
      <c r="B390" s="193"/>
      <c r="C390" s="185"/>
      <c r="D390" s="173"/>
      <c r="E390" s="213"/>
      <c r="F390" s="213"/>
      <c r="G390" s="218"/>
      <c r="H390" s="302"/>
      <c r="I390" s="302"/>
      <c r="J390" s="196"/>
      <c r="K390" s="213"/>
      <c r="L390" s="18"/>
      <c r="M390" s="18"/>
    </row>
    <row r="391" spans="1:13">
      <c r="A391" s="18"/>
      <c r="B391" s="18"/>
      <c r="C391" s="193"/>
      <c r="D391" s="193"/>
      <c r="E391" s="209"/>
      <c r="F391" s="210"/>
      <c r="G391" s="211"/>
      <c r="H391" s="194"/>
      <c r="I391" s="194"/>
      <c r="J391" s="18"/>
      <c r="K391" s="18"/>
      <c r="L391" s="18"/>
      <c r="M391" s="18"/>
    </row>
    <row r="392" spans="1:13">
      <c r="A392" s="335"/>
      <c r="B392" s="18"/>
      <c r="C392" s="335"/>
      <c r="D392" s="304"/>
      <c r="E392" s="304"/>
      <c r="F392" s="210"/>
      <c r="G392" s="211"/>
      <c r="H392" s="194"/>
      <c r="I392" s="194"/>
      <c r="J392" s="18"/>
      <c r="K392" s="18"/>
      <c r="L392" s="18"/>
      <c r="M392" s="18"/>
    </row>
    <row r="393" spans="1:13">
      <c r="A393" s="18"/>
      <c r="B393" s="18"/>
      <c r="C393" s="193"/>
      <c r="D393" s="193"/>
      <c r="E393" s="209"/>
      <c r="F393" s="210"/>
      <c r="G393" s="211"/>
      <c r="H393" s="194"/>
      <c r="I393" s="194"/>
      <c r="J393" s="18"/>
      <c r="K393" s="18"/>
      <c r="L393" s="18"/>
      <c r="M393" s="18"/>
    </row>
    <row r="394" spans="1:13">
      <c r="A394" s="18"/>
      <c r="B394" s="189"/>
      <c r="C394" s="189"/>
      <c r="D394" s="18"/>
      <c r="E394" s="209"/>
      <c r="F394" s="210"/>
      <c r="G394" s="211"/>
      <c r="H394" s="194"/>
      <c r="I394" s="194"/>
      <c r="J394" s="18"/>
      <c r="K394" s="18"/>
      <c r="L394" s="18"/>
      <c r="M394" s="18"/>
    </row>
    <row r="395" spans="1:13">
      <c r="A395" s="18"/>
      <c r="B395" s="193"/>
      <c r="C395" s="189"/>
      <c r="D395" s="212"/>
      <c r="E395" s="209"/>
      <c r="F395" s="210"/>
      <c r="G395" s="211"/>
      <c r="H395" s="194"/>
      <c r="I395" s="194"/>
      <c r="J395" s="18"/>
      <c r="K395" s="18"/>
      <c r="L395" s="18"/>
      <c r="M395" s="18"/>
    </row>
    <row r="396" spans="1:13">
      <c r="A396" s="18"/>
      <c r="B396" s="193"/>
      <c r="C396" s="189"/>
      <c r="D396" s="212"/>
      <c r="E396" s="174"/>
      <c r="F396" s="174"/>
      <c r="G396" s="174"/>
      <c r="H396" s="194"/>
      <c r="I396" s="194"/>
      <c r="J396" s="195"/>
      <c r="K396" s="194"/>
      <c r="L396" s="194"/>
      <c r="M396" s="18"/>
    </row>
    <row r="397" spans="1:13">
      <c r="A397" s="18"/>
      <c r="B397" s="193"/>
      <c r="C397" s="185"/>
      <c r="D397" s="173"/>
      <c r="E397" s="195"/>
      <c r="F397" s="195"/>
      <c r="G397" s="195"/>
      <c r="H397" s="194"/>
      <c r="I397" s="194"/>
      <c r="J397" s="195"/>
      <c r="K397" s="194"/>
      <c r="L397" s="194"/>
      <c r="M397" s="18"/>
    </row>
    <row r="398" spans="1:13">
      <c r="A398" s="18"/>
      <c r="B398" s="18"/>
      <c r="C398" s="193"/>
      <c r="D398" s="171"/>
      <c r="E398" s="195"/>
      <c r="F398" s="195"/>
      <c r="G398" s="195"/>
      <c r="H398" s="194"/>
      <c r="I398" s="194"/>
      <c r="J398" s="195"/>
      <c r="K398" s="194"/>
      <c r="L398" s="194"/>
      <c r="M398" s="18"/>
    </row>
    <row r="399" spans="1:13">
      <c r="A399" s="335"/>
      <c r="B399" s="18"/>
      <c r="C399" s="335"/>
      <c r="D399" s="335"/>
      <c r="E399" s="195"/>
      <c r="F399" s="195"/>
      <c r="G399" s="195"/>
      <c r="H399" s="172"/>
      <c r="I399" s="172"/>
      <c r="J399" s="172"/>
      <c r="K399" s="194"/>
      <c r="L399" s="194"/>
      <c r="M399" s="18"/>
    </row>
    <row r="400" spans="1:13">
      <c r="A400" s="18"/>
      <c r="B400" s="18"/>
      <c r="C400" s="193"/>
      <c r="D400" s="171"/>
      <c r="E400" s="195"/>
      <c r="F400" s="195"/>
      <c r="G400" s="216"/>
      <c r="H400" s="180"/>
      <c r="I400" s="180"/>
      <c r="J400" s="180"/>
      <c r="K400" s="194"/>
      <c r="L400" s="194"/>
      <c r="M400" s="18"/>
    </row>
    <row r="401" spans="1:13">
      <c r="A401" s="18"/>
      <c r="B401" s="189"/>
      <c r="C401" s="189"/>
      <c r="D401" s="18"/>
      <c r="E401" s="195"/>
      <c r="F401" s="195"/>
      <c r="G401" s="216"/>
      <c r="H401" s="182"/>
      <c r="I401" s="182"/>
      <c r="J401" s="182"/>
      <c r="K401" s="194"/>
      <c r="L401" s="194"/>
      <c r="M401" s="18"/>
    </row>
    <row r="402" spans="1:13">
      <c r="A402" s="18"/>
      <c r="B402" s="193"/>
      <c r="C402" s="189"/>
      <c r="D402" s="212"/>
      <c r="E402" s="195"/>
      <c r="F402" s="195"/>
      <c r="G402" s="216"/>
      <c r="H402" s="189"/>
      <c r="I402" s="189"/>
      <c r="J402" s="182"/>
      <c r="K402" s="194"/>
      <c r="L402" s="194"/>
      <c r="M402" s="18"/>
    </row>
    <row r="403" spans="1:13">
      <c r="A403" s="18"/>
      <c r="B403" s="193"/>
      <c r="C403" s="189"/>
      <c r="D403" s="212"/>
      <c r="E403" s="189"/>
      <c r="F403" s="195"/>
      <c r="G403" s="216"/>
      <c r="H403" s="189"/>
      <c r="I403" s="189"/>
      <c r="J403" s="182"/>
      <c r="K403" s="194"/>
      <c r="L403" s="196"/>
      <c r="M403" s="18"/>
    </row>
    <row r="404" spans="1:13">
      <c r="A404" s="18"/>
      <c r="B404" s="193"/>
      <c r="C404" s="185"/>
      <c r="D404" s="173"/>
      <c r="E404" s="189"/>
      <c r="F404" s="195"/>
      <c r="G404" s="216"/>
      <c r="H404" s="189"/>
      <c r="I404" s="189"/>
      <c r="J404" s="217"/>
      <c r="K404" s="303"/>
      <c r="L404" s="196"/>
      <c r="M404" s="18"/>
    </row>
    <row r="405" spans="1:13">
      <c r="A405" s="18"/>
      <c r="B405" s="18"/>
      <c r="C405" s="193"/>
      <c r="D405" s="171"/>
      <c r="E405" s="195"/>
      <c r="F405" s="195"/>
      <c r="G405" s="195"/>
      <c r="H405" s="189"/>
      <c r="I405" s="189"/>
      <c r="J405" s="195"/>
      <c r="K405" s="194"/>
      <c r="L405" s="196"/>
      <c r="M405" s="18"/>
    </row>
    <row r="406" spans="1:13">
      <c r="A406" s="18"/>
      <c r="B406" s="18"/>
      <c r="C406" s="193"/>
      <c r="D406" s="171"/>
      <c r="E406" s="195"/>
      <c r="F406" s="195"/>
      <c r="G406" s="195"/>
      <c r="H406" s="189"/>
      <c r="I406" s="189"/>
      <c r="J406" s="216"/>
      <c r="K406" s="194"/>
      <c r="L406" s="196"/>
      <c r="M406" s="18"/>
    </row>
    <row r="407" spans="1:13">
      <c r="A407" s="18"/>
      <c r="B407" s="18"/>
      <c r="C407" s="193"/>
      <c r="D407" s="171"/>
      <c r="E407" s="195"/>
      <c r="F407" s="195"/>
      <c r="G407" s="208"/>
      <c r="H407" s="189"/>
      <c r="I407" s="189"/>
      <c r="J407" s="195"/>
      <c r="K407" s="194"/>
      <c r="L407" s="196"/>
      <c r="M407" s="18"/>
    </row>
    <row r="408" spans="1:13">
      <c r="A408" s="18"/>
      <c r="B408" s="18"/>
      <c r="C408" s="193"/>
      <c r="D408" s="171"/>
      <c r="E408" s="195"/>
      <c r="F408" s="195"/>
      <c r="G408" s="174"/>
      <c r="H408" s="189"/>
      <c r="I408" s="189"/>
      <c r="J408" s="195"/>
      <c r="K408" s="182"/>
      <c r="L408" s="181"/>
      <c r="M408" s="18"/>
    </row>
    <row r="409" spans="1:13">
      <c r="A409" s="18"/>
      <c r="B409" s="18"/>
      <c r="C409" s="193"/>
      <c r="D409" s="171"/>
      <c r="E409" s="195"/>
      <c r="F409" s="195"/>
      <c r="G409" s="174"/>
      <c r="H409" s="18"/>
      <c r="I409" s="18"/>
      <c r="J409" s="208"/>
      <c r="K409" s="217"/>
      <c r="L409" s="181"/>
      <c r="M409" s="18"/>
    </row>
    <row r="410" spans="1:13">
      <c r="A410" s="18"/>
      <c r="B410" s="18"/>
      <c r="C410" s="193"/>
      <c r="D410" s="171"/>
      <c r="E410" s="195"/>
      <c r="F410" s="195"/>
      <c r="G410" s="174"/>
      <c r="H410" s="18"/>
      <c r="I410" s="18"/>
      <c r="J410" s="178"/>
      <c r="K410" s="217"/>
      <c r="L410" s="181"/>
      <c r="M410" s="18"/>
    </row>
    <row r="411" spans="1:13">
      <c r="A411" s="18"/>
      <c r="B411" s="18"/>
      <c r="C411" s="193"/>
      <c r="D411" s="171"/>
      <c r="E411" s="195"/>
      <c r="F411" s="195"/>
      <c r="G411" s="174"/>
      <c r="H411" s="196"/>
      <c r="I411" s="196"/>
      <c r="J411" s="208"/>
      <c r="K411" s="217"/>
      <c r="L411" s="181"/>
      <c r="M411" s="18"/>
    </row>
    <row r="412" spans="1:13">
      <c r="A412" s="18"/>
      <c r="B412" s="18"/>
      <c r="C412" s="193"/>
      <c r="D412" s="171"/>
      <c r="E412" s="195"/>
      <c r="F412" s="195"/>
      <c r="G412" s="174"/>
      <c r="H412" s="194"/>
      <c r="I412" s="194"/>
      <c r="J412" s="178"/>
      <c r="K412" s="199"/>
      <c r="L412" s="181"/>
      <c r="M412" s="18"/>
    </row>
    <row r="413" spans="1:13">
      <c r="A413" s="18"/>
      <c r="B413" s="18"/>
      <c r="C413" s="193"/>
      <c r="D413" s="171"/>
      <c r="E413" s="195"/>
      <c r="F413" s="195"/>
      <c r="G413" s="174"/>
      <c r="H413" s="194"/>
      <c r="I413" s="194"/>
      <c r="J413" s="208"/>
      <c r="K413" s="218"/>
      <c r="L413" s="219"/>
      <c r="M413" s="18"/>
    </row>
    <row r="414" spans="1:13">
      <c r="A414" s="18"/>
      <c r="B414" s="18"/>
      <c r="C414" s="193"/>
      <c r="D414" s="171"/>
      <c r="E414" s="195"/>
      <c r="F414" s="195"/>
      <c r="G414" s="174"/>
      <c r="H414" s="194"/>
      <c r="I414" s="194"/>
      <c r="J414" s="18"/>
      <c r="K414" s="18"/>
      <c r="L414" s="18"/>
      <c r="M414" s="18"/>
    </row>
    <row r="415" spans="1:13">
      <c r="A415" s="18"/>
      <c r="B415" s="18"/>
      <c r="C415" s="193"/>
      <c r="D415" s="171"/>
      <c r="E415" s="195"/>
      <c r="F415" s="195"/>
      <c r="G415" s="174"/>
      <c r="H415" s="194"/>
      <c r="I415" s="194"/>
      <c r="J415" s="18"/>
      <c r="K415" s="18"/>
      <c r="L415" s="18"/>
      <c r="M415" s="18"/>
    </row>
    <row r="416" spans="1:13">
      <c r="A416" s="18"/>
      <c r="B416" s="18"/>
      <c r="C416" s="193"/>
      <c r="D416" s="171"/>
      <c r="E416" s="195"/>
      <c r="F416" s="195"/>
      <c r="G416" s="174"/>
      <c r="H416" s="194"/>
      <c r="I416" s="194"/>
      <c r="J416" s="18"/>
      <c r="K416" s="18"/>
      <c r="L416" s="18"/>
      <c r="M416" s="18"/>
    </row>
    <row r="417" spans="1:13">
      <c r="A417" s="18"/>
      <c r="B417" s="18"/>
      <c r="C417" s="193"/>
      <c r="D417" s="171"/>
      <c r="E417" s="195"/>
      <c r="F417" s="195"/>
      <c r="G417" s="174"/>
      <c r="H417" s="194"/>
      <c r="I417" s="194"/>
      <c r="J417" s="18"/>
      <c r="K417" s="18"/>
      <c r="L417" s="18"/>
      <c r="M417" s="18"/>
    </row>
    <row r="418" spans="1:13">
      <c r="A418" s="18"/>
      <c r="B418" s="18"/>
      <c r="C418" s="193"/>
      <c r="D418" s="171"/>
      <c r="E418" s="195"/>
      <c r="F418" s="195"/>
      <c r="G418" s="174"/>
      <c r="H418" s="194"/>
      <c r="I418" s="194"/>
      <c r="J418" s="18"/>
      <c r="K418" s="18"/>
      <c r="L418" s="18"/>
      <c r="M418" s="18"/>
    </row>
    <row r="419" spans="1:13">
      <c r="A419" s="18"/>
      <c r="B419" s="18"/>
      <c r="C419" s="193"/>
      <c r="D419" s="171"/>
      <c r="E419" s="195"/>
      <c r="F419" s="195"/>
      <c r="G419" s="174"/>
      <c r="H419" s="194"/>
      <c r="I419" s="194"/>
      <c r="J419" s="18"/>
      <c r="K419" s="18"/>
      <c r="L419" s="18"/>
      <c r="M419" s="18"/>
    </row>
    <row r="420" spans="1:13">
      <c r="A420" s="18"/>
      <c r="B420" s="18"/>
      <c r="C420" s="193"/>
      <c r="D420" s="171"/>
      <c r="E420" s="195"/>
      <c r="F420" s="195"/>
      <c r="G420" s="174"/>
      <c r="H420" s="194"/>
      <c r="I420" s="194"/>
      <c r="J420" s="18"/>
      <c r="K420" s="18"/>
      <c r="L420" s="18"/>
      <c r="M420" s="18"/>
    </row>
    <row r="421" spans="1:13">
      <c r="A421" s="18"/>
      <c r="B421" s="18"/>
      <c r="C421" s="193"/>
      <c r="D421" s="171"/>
      <c r="E421" s="208"/>
      <c r="F421" s="203"/>
      <c r="G421" s="208"/>
      <c r="H421" s="194"/>
      <c r="I421" s="194"/>
      <c r="J421" s="18"/>
      <c r="K421" s="18"/>
      <c r="L421" s="18"/>
      <c r="M421" s="18"/>
    </row>
    <row r="422" spans="1:13">
      <c r="A422" s="18"/>
      <c r="B422" s="18"/>
      <c r="C422" s="193"/>
      <c r="D422" s="171"/>
      <c r="E422" s="220"/>
      <c r="F422" s="203"/>
      <c r="G422" s="183"/>
      <c r="H422" s="194"/>
      <c r="I422" s="194"/>
      <c r="J422" s="18"/>
      <c r="K422" s="18"/>
      <c r="L422" s="18"/>
      <c r="M422" s="18"/>
    </row>
    <row r="423" spans="1:13">
      <c r="A423" s="18"/>
      <c r="B423" s="18"/>
      <c r="C423" s="193"/>
      <c r="D423" s="171"/>
      <c r="E423" s="220"/>
      <c r="F423" s="203"/>
      <c r="G423" s="183"/>
      <c r="H423" s="194"/>
      <c r="I423" s="194"/>
      <c r="J423" s="18"/>
      <c r="K423" s="18"/>
      <c r="L423" s="18"/>
      <c r="M423" s="18"/>
    </row>
    <row r="424" spans="1:13">
      <c r="A424" s="18"/>
      <c r="B424" s="18"/>
      <c r="C424" s="193"/>
      <c r="D424" s="171"/>
      <c r="E424" s="178"/>
      <c r="F424" s="199"/>
      <c r="G424" s="208"/>
      <c r="H424" s="194"/>
      <c r="I424" s="194"/>
      <c r="J424" s="18"/>
      <c r="K424" s="18"/>
      <c r="L424" s="18"/>
      <c r="M424" s="18"/>
    </row>
    <row r="425" spans="1:13">
      <c r="A425" s="18"/>
      <c r="B425" s="18"/>
      <c r="C425" s="193"/>
      <c r="D425" s="171"/>
      <c r="E425" s="178"/>
      <c r="F425" s="199"/>
      <c r="G425" s="208"/>
      <c r="H425" s="194"/>
      <c r="I425" s="194"/>
      <c r="J425" s="18"/>
      <c r="K425" s="18"/>
      <c r="L425" s="18"/>
      <c r="M425" s="18"/>
    </row>
    <row r="426" spans="1:13">
      <c r="A426" s="18"/>
      <c r="B426" s="18"/>
      <c r="C426" s="193"/>
      <c r="D426" s="193"/>
      <c r="E426" s="209"/>
      <c r="F426" s="210"/>
      <c r="G426" s="211"/>
      <c r="H426" s="194"/>
      <c r="I426" s="194"/>
      <c r="J426" s="18"/>
      <c r="K426" s="18"/>
      <c r="L426" s="18"/>
      <c r="M426" s="18"/>
    </row>
    <row r="427" spans="1:13">
      <c r="A427" s="18"/>
      <c r="B427" s="18"/>
      <c r="C427" s="193"/>
      <c r="D427" s="193"/>
      <c r="E427" s="209"/>
      <c r="F427" s="210"/>
      <c r="G427" s="211"/>
      <c r="H427" s="194"/>
      <c r="I427" s="194"/>
      <c r="J427" s="18"/>
      <c r="K427" s="18"/>
      <c r="L427" s="18"/>
      <c r="M427" s="18"/>
    </row>
    <row r="428" spans="1:13">
      <c r="A428" s="18"/>
      <c r="B428" s="18"/>
      <c r="C428" s="321"/>
      <c r="D428" s="321"/>
      <c r="E428" s="321"/>
      <c r="F428" s="321"/>
      <c r="G428" s="221"/>
      <c r="H428" s="205"/>
      <c r="I428" s="205"/>
      <c r="J428" s="304"/>
      <c r="K428" s="18"/>
      <c r="L428" s="18"/>
      <c r="M428" s="18"/>
    </row>
    <row r="429" spans="1:13">
      <c r="A429" s="18"/>
      <c r="B429" s="18"/>
      <c r="C429" s="196"/>
      <c r="D429" s="196"/>
      <c r="E429" s="205"/>
      <c r="F429" s="205"/>
      <c r="G429" s="179"/>
      <c r="H429" s="205"/>
      <c r="I429" s="205"/>
      <c r="J429" s="304"/>
      <c r="K429" s="18"/>
      <c r="L429" s="18"/>
      <c r="M429" s="18"/>
    </row>
    <row r="430" spans="1:13">
      <c r="A430" s="18"/>
      <c r="B430" s="18"/>
      <c r="C430" s="196"/>
      <c r="D430" s="196"/>
      <c r="E430" s="167"/>
      <c r="F430" s="180"/>
      <c r="G430" s="189"/>
      <c r="H430" s="205"/>
      <c r="I430" s="205"/>
      <c r="J430" s="304"/>
      <c r="K430" s="18"/>
      <c r="L430" s="18"/>
      <c r="M430" s="18"/>
    </row>
    <row r="431" spans="1:13">
      <c r="A431" s="18"/>
      <c r="B431" s="18"/>
      <c r="C431" s="196"/>
      <c r="D431" s="196"/>
      <c r="E431" s="194"/>
      <c r="F431" s="305"/>
      <c r="G431" s="213"/>
      <c r="H431" s="196"/>
      <c r="I431" s="196"/>
      <c r="J431" s="304"/>
      <c r="K431" s="18"/>
      <c r="L431" s="18"/>
      <c r="M431" s="18"/>
    </row>
    <row r="432" spans="1:13">
      <c r="A432" s="18"/>
      <c r="B432" s="18"/>
      <c r="C432" s="196"/>
      <c r="D432" s="196"/>
      <c r="E432" s="194"/>
      <c r="F432" s="305"/>
      <c r="G432" s="213"/>
      <c r="H432" s="196"/>
      <c r="I432" s="196"/>
      <c r="J432" s="304"/>
      <c r="K432" s="18"/>
      <c r="L432" s="18"/>
      <c r="M432" s="18"/>
    </row>
    <row r="433" spans="1:13">
      <c r="A433" s="18"/>
      <c r="B433" s="18"/>
      <c r="C433" s="196"/>
      <c r="D433" s="196"/>
      <c r="E433" s="194"/>
      <c r="F433" s="305"/>
      <c r="G433" s="213"/>
      <c r="H433" s="196"/>
      <c r="I433" s="196"/>
      <c r="J433" s="304"/>
      <c r="K433" s="18"/>
      <c r="L433" s="18"/>
      <c r="M433" s="18"/>
    </row>
    <row r="434" spans="1:13">
      <c r="A434" s="18"/>
      <c r="B434" s="18"/>
      <c r="C434" s="196"/>
      <c r="D434" s="196"/>
      <c r="E434" s="194"/>
      <c r="F434" s="305"/>
      <c r="G434" s="213"/>
      <c r="H434" s="196"/>
      <c r="I434" s="196"/>
      <c r="J434" s="304"/>
      <c r="K434" s="18"/>
      <c r="L434" s="18"/>
      <c r="M434" s="18"/>
    </row>
    <row r="435" spans="1:13">
      <c r="A435" s="18"/>
      <c r="B435" s="18"/>
      <c r="C435" s="196"/>
      <c r="D435" s="196"/>
      <c r="E435" s="205"/>
      <c r="F435" s="305"/>
      <c r="G435" s="306"/>
      <c r="H435" s="307"/>
      <c r="I435" s="307"/>
      <c r="J435" s="304"/>
      <c r="K435" s="18"/>
      <c r="L435" s="18"/>
      <c r="M435" s="18"/>
    </row>
    <row r="436" spans="1:13">
      <c r="A436" s="18"/>
      <c r="B436" s="18"/>
      <c r="C436" s="193"/>
      <c r="D436" s="193"/>
      <c r="E436" s="205"/>
      <c r="F436" s="196"/>
      <c r="G436" s="167"/>
      <c r="H436" s="222"/>
      <c r="I436" s="222"/>
      <c r="J436" s="18"/>
      <c r="K436" s="18"/>
      <c r="L436" s="18"/>
      <c r="M436" s="18"/>
    </row>
    <row r="437" spans="1:13">
      <c r="A437" s="18"/>
      <c r="B437" s="18"/>
      <c r="C437" s="321"/>
      <c r="D437" s="321"/>
      <c r="E437" s="321"/>
      <c r="F437" s="321"/>
      <c r="G437" s="321"/>
      <c r="H437" s="321"/>
      <c r="I437" s="321"/>
      <c r="J437" s="18"/>
      <c r="K437" s="18"/>
      <c r="L437" s="18"/>
      <c r="M437" s="18"/>
    </row>
    <row r="438" spans="1:13">
      <c r="A438" s="18"/>
      <c r="B438" s="18"/>
      <c r="C438" s="193"/>
      <c r="D438" s="193"/>
      <c r="E438" s="193"/>
      <c r="F438" s="193"/>
      <c r="G438" s="193"/>
      <c r="H438" s="193"/>
      <c r="I438" s="193"/>
      <c r="J438" s="18"/>
      <c r="K438" s="18"/>
      <c r="L438" s="18"/>
      <c r="M438" s="18"/>
    </row>
    <row r="439" spans="1:13">
      <c r="A439" s="18"/>
      <c r="B439" s="18"/>
      <c r="C439" s="206"/>
      <c r="D439" s="206"/>
      <c r="E439" s="189"/>
      <c r="F439" s="180"/>
      <c r="G439" s="189"/>
      <c r="H439" s="180"/>
      <c r="I439" s="180"/>
      <c r="J439" s="18"/>
      <c r="K439" s="18"/>
      <c r="L439" s="206"/>
      <c r="M439" s="206"/>
    </row>
    <row r="440" spans="1:13">
      <c r="A440" s="18"/>
      <c r="B440" s="175"/>
      <c r="C440" s="320"/>
      <c r="D440" s="320"/>
      <c r="E440" s="189"/>
      <c r="F440" s="308"/>
      <c r="G440" s="189"/>
      <c r="H440" s="189"/>
      <c r="I440" s="189"/>
      <c r="J440" s="18"/>
      <c r="K440" s="18"/>
      <c r="L440" s="223"/>
      <c r="M440" s="189"/>
    </row>
    <row r="441" spans="1:13">
      <c r="A441" s="18"/>
      <c r="B441" s="175"/>
      <c r="C441" s="175"/>
      <c r="D441" s="175"/>
      <c r="E441" s="189"/>
      <c r="F441" s="308"/>
      <c r="G441" s="189"/>
      <c r="H441" s="189"/>
      <c r="I441" s="189"/>
      <c r="J441" s="18"/>
      <c r="K441" s="18"/>
      <c r="L441" s="223"/>
      <c r="M441" s="189"/>
    </row>
    <row r="442" spans="1:13">
      <c r="A442" s="18"/>
      <c r="B442" s="175"/>
      <c r="C442" s="176"/>
      <c r="D442" s="176"/>
      <c r="E442" s="189"/>
      <c r="F442" s="308"/>
      <c r="G442" s="189"/>
      <c r="H442" s="189"/>
      <c r="I442" s="189"/>
      <c r="J442" s="18"/>
      <c r="K442" s="18"/>
      <c r="L442" s="223"/>
      <c r="M442" s="189"/>
    </row>
    <row r="443" spans="1:13">
      <c r="A443" s="18"/>
      <c r="B443" s="175"/>
      <c r="C443" s="172"/>
      <c r="D443" s="172"/>
      <c r="E443" s="180"/>
      <c r="F443" s="189"/>
      <c r="G443" s="182"/>
      <c r="H443" s="180"/>
      <c r="I443" s="180"/>
      <c r="J443" s="18"/>
      <c r="K443" s="18"/>
      <c r="L443" s="223"/>
      <c r="M443" s="189"/>
    </row>
    <row r="444" spans="1:13">
      <c r="A444" s="18"/>
      <c r="B444" s="175"/>
      <c r="C444" s="190"/>
      <c r="D444" s="190"/>
      <c r="E444" s="192"/>
      <c r="F444" s="308"/>
      <c r="G444" s="192"/>
      <c r="H444" s="189"/>
      <c r="I444" s="189"/>
      <c r="J444" s="18"/>
      <c r="K444" s="18"/>
      <c r="L444" s="223"/>
      <c r="M444" s="189"/>
    </row>
    <row r="445" spans="1:13">
      <c r="A445" s="18"/>
      <c r="B445" s="18"/>
      <c r="C445" s="221"/>
      <c r="D445" s="18"/>
      <c r="E445" s="18"/>
      <c r="F445" s="18"/>
      <c r="G445" s="18"/>
      <c r="H445" s="185"/>
      <c r="I445" s="185"/>
      <c r="J445" s="18"/>
      <c r="K445" s="18"/>
      <c r="L445" s="223"/>
      <c r="M445" s="189"/>
    </row>
    <row r="446" spans="1:13">
      <c r="A446" s="18"/>
      <c r="B446" s="18"/>
      <c r="C446" s="221"/>
      <c r="D446" s="18"/>
      <c r="E446" s="18"/>
      <c r="F446" s="18"/>
      <c r="G446" s="178"/>
      <c r="H446" s="199"/>
      <c r="I446" s="199"/>
      <c r="J446" s="18"/>
      <c r="K446" s="18"/>
      <c r="L446" s="223"/>
      <c r="M446" s="189"/>
    </row>
    <row r="447" spans="1:13">
      <c r="A447" s="18"/>
      <c r="B447" s="18"/>
      <c r="C447" s="235"/>
      <c r="D447" s="235"/>
      <c r="E447" s="235"/>
      <c r="F447" s="18"/>
      <c r="G447" s="18"/>
      <c r="H447" s="18"/>
      <c r="I447" s="18"/>
      <c r="J447" s="18"/>
      <c r="K447" s="18"/>
      <c r="L447" s="223"/>
      <c r="M447" s="189"/>
    </row>
    <row r="448" spans="1:13">
      <c r="A448" s="18"/>
      <c r="B448" s="18"/>
      <c r="C448" s="221"/>
      <c r="D448" s="18"/>
      <c r="E448" s="18"/>
      <c r="F448" s="18"/>
      <c r="G448" s="18"/>
      <c r="H448" s="18"/>
      <c r="I448" s="18"/>
      <c r="J448" s="18"/>
      <c r="K448" s="18"/>
      <c r="L448" s="223"/>
      <c r="M448" s="189"/>
    </row>
    <row r="449" spans="1:13">
      <c r="A449" s="18"/>
      <c r="B449" s="18"/>
      <c r="C449" s="177"/>
      <c r="D449" s="177"/>
      <c r="E449" s="185"/>
      <c r="F449" s="309"/>
      <c r="G449" s="18"/>
      <c r="H449" s="18"/>
      <c r="I449" s="18"/>
      <c r="J449" s="18"/>
      <c r="K449" s="18"/>
      <c r="L449" s="223"/>
      <c r="M449" s="189"/>
    </row>
    <row r="450" spans="1:13">
      <c r="A450" s="18"/>
      <c r="B450" s="18"/>
      <c r="C450" s="221"/>
      <c r="D450" s="18"/>
      <c r="E450" s="18"/>
      <c r="F450" s="18"/>
      <c r="G450" s="18"/>
      <c r="H450" s="18"/>
      <c r="I450" s="18"/>
      <c r="J450" s="18"/>
      <c r="K450" s="18"/>
      <c r="L450" s="223"/>
      <c r="M450" s="189"/>
    </row>
    <row r="451" spans="1:13">
      <c r="A451" s="18"/>
      <c r="B451" s="18"/>
      <c r="C451" s="224"/>
      <c r="D451" s="225"/>
      <c r="E451" s="225"/>
      <c r="F451" s="18"/>
      <c r="G451" s="18"/>
      <c r="H451" s="18"/>
      <c r="I451" s="18"/>
      <c r="J451" s="18"/>
      <c r="K451" s="18"/>
      <c r="L451" s="223"/>
      <c r="M451" s="189"/>
    </row>
    <row r="452" spans="1:13">
      <c r="A452" s="18"/>
      <c r="B452" s="18"/>
      <c r="C452" s="226"/>
      <c r="D452" s="18"/>
      <c r="E452" s="18"/>
      <c r="F452" s="18"/>
      <c r="G452" s="18"/>
      <c r="H452" s="18"/>
      <c r="I452" s="18"/>
      <c r="J452" s="18"/>
      <c r="K452" s="18"/>
      <c r="L452" s="223"/>
      <c r="M452" s="189"/>
    </row>
    <row r="453" spans="1:13">
      <c r="A453" s="18"/>
      <c r="B453" s="18"/>
      <c r="C453" s="226"/>
      <c r="D453" s="18"/>
      <c r="E453" s="189"/>
      <c r="F453" s="180"/>
      <c r="G453" s="189"/>
      <c r="H453" s="180"/>
      <c r="I453" s="180"/>
      <c r="J453" s="18"/>
      <c r="K453" s="18"/>
      <c r="L453" s="223"/>
      <c r="M453" s="189"/>
    </row>
    <row r="454" spans="1:13">
      <c r="A454" s="18"/>
      <c r="B454" s="175"/>
      <c r="C454" s="175"/>
      <c r="D454" s="206"/>
      <c r="E454" s="189"/>
      <c r="F454" s="308"/>
      <c r="G454" s="189"/>
      <c r="H454" s="189"/>
      <c r="I454" s="189"/>
      <c r="J454" s="18"/>
      <c r="K454" s="18"/>
      <c r="L454" s="205"/>
      <c r="M454" s="189"/>
    </row>
    <row r="455" spans="1:13">
      <c r="A455" s="18"/>
      <c r="B455" s="175"/>
      <c r="C455" s="175"/>
      <c r="D455" s="175"/>
      <c r="E455" s="189"/>
      <c r="F455" s="308"/>
      <c r="G455" s="189"/>
      <c r="H455" s="189"/>
      <c r="I455" s="189"/>
      <c r="J455" s="18"/>
      <c r="K455" s="18"/>
      <c r="L455" s="205"/>
      <c r="M455" s="189"/>
    </row>
    <row r="456" spans="1:13">
      <c r="A456" s="18"/>
      <c r="B456" s="175"/>
      <c r="C456" s="175"/>
      <c r="D456" s="175"/>
      <c r="E456" s="189"/>
      <c r="F456" s="308"/>
      <c r="G456" s="189"/>
      <c r="H456" s="189"/>
      <c r="I456" s="189"/>
      <c r="J456" s="18"/>
      <c r="K456" s="18"/>
      <c r="L456" s="205"/>
      <c r="M456" s="189"/>
    </row>
    <row r="457" spans="1:13">
      <c r="A457" s="18"/>
      <c r="B457" s="175"/>
      <c r="C457" s="176"/>
      <c r="D457" s="176"/>
      <c r="E457" s="189"/>
      <c r="F457" s="308"/>
      <c r="G457" s="189"/>
      <c r="H457" s="189"/>
      <c r="I457" s="189"/>
      <c r="J457" s="18"/>
      <c r="K457" s="18"/>
      <c r="L457" s="223"/>
      <c r="M457" s="189"/>
    </row>
    <row r="458" spans="1:13">
      <c r="A458" s="18"/>
      <c r="B458" s="175"/>
      <c r="C458" s="172"/>
      <c r="D458" s="172"/>
      <c r="E458" s="180"/>
      <c r="F458" s="189"/>
      <c r="G458" s="182"/>
      <c r="H458" s="180"/>
      <c r="I458" s="180"/>
      <c r="J458" s="18"/>
      <c r="K458" s="18"/>
      <c r="L458" s="227"/>
      <c r="M458" s="189"/>
    </row>
    <row r="459" spans="1:13">
      <c r="A459" s="18"/>
      <c r="B459" s="175"/>
      <c r="C459" s="190"/>
      <c r="D459" s="190"/>
      <c r="E459" s="180"/>
      <c r="F459" s="189"/>
      <c r="G459" s="182"/>
      <c r="H459" s="189"/>
      <c r="I459" s="189"/>
      <c r="J459" s="18"/>
      <c r="K459" s="18"/>
      <c r="L459" s="227"/>
      <c r="M459" s="189"/>
    </row>
    <row r="460" spans="1:13">
      <c r="A460" s="18"/>
      <c r="B460" s="18"/>
      <c r="C460" s="226"/>
      <c r="D460" s="18"/>
      <c r="E460" s="18"/>
      <c r="F460" s="18"/>
      <c r="G460" s="18"/>
      <c r="H460" s="185"/>
      <c r="I460" s="185"/>
      <c r="J460" s="18"/>
      <c r="K460" s="18"/>
      <c r="L460" s="227"/>
      <c r="M460" s="189"/>
    </row>
    <row r="461" spans="1:13">
      <c r="A461" s="18"/>
      <c r="B461" s="18"/>
      <c r="C461" s="226"/>
      <c r="D461" s="18"/>
      <c r="E461" s="18"/>
      <c r="F461" s="18"/>
      <c r="G461" s="18"/>
      <c r="H461" s="18"/>
      <c r="I461" s="18"/>
      <c r="J461" s="18"/>
      <c r="K461" s="18"/>
      <c r="L461" s="227"/>
      <c r="M461" s="189"/>
    </row>
    <row r="462" spans="1:13">
      <c r="A462" s="18"/>
      <c r="B462" s="18"/>
      <c r="C462" s="191"/>
      <c r="D462" s="191"/>
      <c r="E462" s="191"/>
      <c r="F462" s="18"/>
      <c r="G462" s="18"/>
      <c r="H462" s="18"/>
      <c r="I462" s="18"/>
      <c r="J462" s="18"/>
      <c r="K462" s="18"/>
      <c r="L462" s="227"/>
      <c r="M462" s="189"/>
    </row>
    <row r="463" spans="1:13">
      <c r="A463" s="18"/>
      <c r="B463" s="18"/>
      <c r="C463" s="226"/>
      <c r="D463" s="18"/>
      <c r="E463" s="18"/>
      <c r="F463" s="18"/>
      <c r="G463" s="18"/>
      <c r="H463" s="18"/>
      <c r="I463" s="18"/>
      <c r="J463" s="206"/>
      <c r="K463" s="206"/>
      <c r="L463" s="227"/>
      <c r="M463" s="189"/>
    </row>
    <row r="464" spans="1:13">
      <c r="A464" s="18"/>
      <c r="B464" s="18"/>
      <c r="C464" s="177"/>
      <c r="D464" s="177"/>
      <c r="E464" s="180"/>
      <c r="F464" s="181"/>
      <c r="G464" s="180"/>
      <c r="H464" s="185"/>
      <c r="I464" s="185"/>
      <c r="J464" s="206"/>
      <c r="K464" s="206"/>
      <c r="L464" s="206"/>
      <c r="M464" s="206"/>
    </row>
    <row r="465" spans="1:13">
      <c r="A465" s="18"/>
      <c r="B465" s="172"/>
      <c r="C465" s="172"/>
      <c r="D465" s="172"/>
      <c r="E465" s="189"/>
      <c r="F465" s="181"/>
      <c r="G465" s="180"/>
      <c r="H465" s="185"/>
      <c r="I465" s="185"/>
      <c r="J465" s="206"/>
      <c r="K465" s="206"/>
      <c r="L465" s="206"/>
      <c r="M465" s="206"/>
    </row>
    <row r="466" spans="1:13">
      <c r="A466" s="18"/>
      <c r="B466" s="172"/>
      <c r="C466" s="172"/>
      <c r="D466" s="172"/>
      <c r="E466" s="182"/>
      <c r="F466" s="182"/>
      <c r="G466" s="228"/>
      <c r="H466" s="182"/>
      <c r="I466" s="182"/>
      <c r="J466" s="206"/>
      <c r="K466" s="206"/>
      <c r="L466" s="206"/>
      <c r="M466" s="206"/>
    </row>
    <row r="467" spans="1:13">
      <c r="A467" s="18"/>
      <c r="B467" s="18"/>
      <c r="C467" s="226"/>
      <c r="D467" s="229"/>
      <c r="E467" s="217"/>
      <c r="F467" s="182"/>
      <c r="G467" s="228"/>
      <c r="H467" s="182"/>
      <c r="I467" s="182"/>
      <c r="J467" s="206"/>
      <c r="K467" s="206"/>
      <c r="L467" s="206"/>
      <c r="M467" s="206"/>
    </row>
    <row r="468" spans="1:13">
      <c r="A468" s="18"/>
      <c r="B468" s="18"/>
      <c r="C468" s="226"/>
      <c r="D468" s="178"/>
      <c r="E468" s="199"/>
      <c r="F468" s="182"/>
      <c r="G468" s="228"/>
      <c r="H468" s="182"/>
      <c r="I468" s="182"/>
      <c r="J468" s="206"/>
      <c r="K468" s="206"/>
      <c r="L468" s="206"/>
      <c r="M468" s="206"/>
    </row>
    <row r="469" spans="1:13">
      <c r="A469" s="18"/>
      <c r="B469" s="18"/>
      <c r="C469" s="229"/>
      <c r="D469" s="178"/>
      <c r="E469" s="199"/>
      <c r="F469" s="173"/>
      <c r="G469" s="228"/>
      <c r="H469" s="182"/>
      <c r="I469" s="182"/>
      <c r="J469" s="206"/>
      <c r="K469" s="206"/>
      <c r="L469" s="206"/>
      <c r="M469" s="206"/>
    </row>
    <row r="470" spans="1:13">
      <c r="A470" s="18"/>
      <c r="B470" s="18"/>
      <c r="C470" s="229"/>
      <c r="D470" s="229"/>
      <c r="E470" s="310"/>
      <c r="F470" s="309"/>
      <c r="G470" s="228"/>
      <c r="H470" s="182"/>
      <c r="I470" s="182"/>
      <c r="J470" s="206"/>
      <c r="K470" s="206"/>
      <c r="L470" s="206"/>
      <c r="M470" s="206"/>
    </row>
    <row r="471" spans="1:13">
      <c r="A471" s="18"/>
      <c r="B471" s="18"/>
      <c r="C471" s="229"/>
      <c r="D471" s="206"/>
      <c r="E471" s="206"/>
      <c r="F471" s="206"/>
      <c r="G471" s="206"/>
      <c r="H471" s="206"/>
      <c r="I471" s="206"/>
      <c r="J471" s="206"/>
      <c r="K471" s="206"/>
      <c r="L471" s="206"/>
      <c r="M471" s="206"/>
    </row>
    <row r="472" spans="1:13">
      <c r="A472" s="18"/>
      <c r="B472" s="18"/>
      <c r="C472" s="191"/>
      <c r="D472" s="206"/>
      <c r="E472" s="182"/>
      <c r="F472" s="182"/>
      <c r="G472" s="228"/>
      <c r="H472" s="182"/>
      <c r="I472" s="182"/>
      <c r="J472" s="206"/>
      <c r="K472" s="206"/>
      <c r="L472" s="206"/>
      <c r="M472" s="206"/>
    </row>
    <row r="473" spans="1:13">
      <c r="A473" s="18"/>
      <c r="B473" s="18"/>
      <c r="C473" s="167"/>
      <c r="D473" s="178"/>
      <c r="E473" s="175"/>
      <c r="F473" s="177"/>
      <c r="G473" s="175"/>
      <c r="H473" s="175"/>
      <c r="I473" s="175"/>
      <c r="J473" s="230"/>
      <c r="K473" s="206"/>
      <c r="L473" s="206"/>
      <c r="M473" s="206"/>
    </row>
    <row r="474" spans="1:13">
      <c r="A474" s="18"/>
      <c r="B474" s="178"/>
      <c r="C474" s="177"/>
      <c r="D474" s="177"/>
      <c r="E474" s="177"/>
      <c r="F474" s="311"/>
      <c r="G474" s="309"/>
      <c r="H474" s="175"/>
      <c r="I474" s="175"/>
      <c r="J474" s="230"/>
      <c r="K474" s="206"/>
      <c r="L474" s="206"/>
      <c r="M474" s="206"/>
    </row>
    <row r="475" spans="1:13">
      <c r="A475" s="18"/>
      <c r="B475" s="18"/>
      <c r="C475" s="167"/>
      <c r="D475" s="178"/>
      <c r="E475" s="175"/>
      <c r="F475" s="177"/>
      <c r="G475" s="177"/>
      <c r="H475" s="175"/>
      <c r="I475" s="175"/>
      <c r="J475" s="230"/>
      <c r="K475" s="206"/>
      <c r="L475" s="206"/>
      <c r="M475" s="206"/>
    </row>
    <row r="476" spans="1:13">
      <c r="A476" s="18"/>
      <c r="B476" s="18"/>
      <c r="C476" s="235"/>
      <c r="D476" s="235"/>
      <c r="E476" s="235"/>
      <c r="F476" s="175"/>
      <c r="G476" s="175"/>
      <c r="H476" s="175"/>
      <c r="I476" s="175"/>
      <c r="J476" s="230"/>
      <c r="K476" s="206"/>
      <c r="L476" s="206"/>
      <c r="M476" s="206"/>
    </row>
    <row r="477" spans="1:13">
      <c r="A477" s="18"/>
      <c r="B477" s="18"/>
      <c r="C477" s="167"/>
      <c r="D477" s="178"/>
      <c r="E477" s="189"/>
      <c r="F477" s="180"/>
      <c r="G477" s="189"/>
      <c r="H477" s="180"/>
      <c r="I477" s="180"/>
      <c r="J477" s="175"/>
      <c r="K477" s="175"/>
      <c r="L477" s="175"/>
      <c r="M477" s="175"/>
    </row>
    <row r="478" spans="1:13">
      <c r="A478" s="18"/>
      <c r="B478" s="18"/>
      <c r="C478" s="206"/>
      <c r="D478" s="206"/>
      <c r="E478" s="206"/>
      <c r="F478" s="182"/>
      <c r="G478" s="182"/>
      <c r="H478" s="182"/>
      <c r="I478" s="182"/>
      <c r="J478" s="206"/>
      <c r="K478" s="206"/>
      <c r="L478" s="206"/>
      <c r="M478" s="206"/>
    </row>
    <row r="479" spans="1:13">
      <c r="A479" s="18"/>
      <c r="B479" s="18"/>
      <c r="C479" s="206"/>
      <c r="D479" s="180"/>
      <c r="E479" s="180"/>
      <c r="F479" s="180"/>
      <c r="G479" s="167"/>
      <c r="H479" s="180"/>
      <c r="I479" s="180"/>
      <c r="J479" s="206"/>
      <c r="K479" s="206"/>
      <c r="L479" s="206"/>
      <c r="M479" s="206"/>
    </row>
    <row r="480" spans="1:13">
      <c r="A480" s="18"/>
      <c r="B480" s="18"/>
      <c r="C480" s="206"/>
      <c r="D480" s="167"/>
      <c r="E480" s="182"/>
      <c r="F480" s="228"/>
      <c r="G480" s="167"/>
      <c r="H480" s="182"/>
      <c r="I480" s="182"/>
      <c r="J480" s="206"/>
      <c r="K480" s="206"/>
      <c r="L480" s="206"/>
      <c r="M480" s="206"/>
    </row>
    <row r="481" spans="1:13">
      <c r="A481" s="18"/>
      <c r="B481" s="18"/>
      <c r="C481" s="206"/>
      <c r="D481" s="180"/>
      <c r="E481" s="182"/>
      <c r="F481" s="228"/>
      <c r="G481" s="167"/>
      <c r="H481" s="182"/>
      <c r="I481" s="182"/>
      <c r="J481" s="206"/>
      <c r="K481" s="206"/>
      <c r="L481" s="206"/>
      <c r="M481" s="206"/>
    </row>
    <row r="482" spans="1:13">
      <c r="A482" s="18"/>
      <c r="B482" s="18"/>
      <c r="C482" s="231"/>
      <c r="D482" s="180"/>
      <c r="E482" s="182"/>
      <c r="F482" s="312"/>
      <c r="G482" s="167"/>
      <c r="H482" s="182"/>
      <c r="I482" s="182"/>
      <c r="J482" s="206"/>
      <c r="K482" s="206"/>
      <c r="L482" s="206"/>
      <c r="M482" s="206"/>
    </row>
    <row r="483" spans="1:13">
      <c r="A483" s="18"/>
      <c r="B483" s="18"/>
      <c r="C483" s="206"/>
      <c r="D483" s="180"/>
      <c r="E483" s="182"/>
      <c r="F483" s="215"/>
      <c r="G483" s="167"/>
      <c r="H483" s="182"/>
      <c r="I483" s="182"/>
      <c r="J483" s="231"/>
      <c r="K483" s="231"/>
      <c r="L483" s="231"/>
      <c r="M483" s="231"/>
    </row>
    <row r="484" spans="1:13">
      <c r="A484" s="18"/>
      <c r="B484" s="18"/>
      <c r="C484" s="206"/>
      <c r="D484" s="180"/>
      <c r="E484" s="182"/>
      <c r="F484" s="215"/>
      <c r="G484" s="167"/>
      <c r="H484" s="182"/>
      <c r="I484" s="182"/>
      <c r="J484" s="231"/>
      <c r="K484" s="231"/>
      <c r="L484" s="231"/>
      <c r="M484" s="231"/>
    </row>
    <row r="485" spans="1:13">
      <c r="A485" s="18"/>
      <c r="B485" s="18"/>
      <c r="C485" s="233"/>
      <c r="D485" s="180"/>
      <c r="E485" s="182"/>
      <c r="F485" s="215"/>
      <c r="G485" s="167"/>
      <c r="H485" s="182"/>
      <c r="I485" s="182"/>
      <c r="J485" s="206"/>
      <c r="K485" s="206"/>
      <c r="L485" s="206"/>
      <c r="M485" s="206"/>
    </row>
    <row r="486" spans="1:13">
      <c r="A486" s="18"/>
      <c r="B486" s="18"/>
      <c r="C486" s="234"/>
      <c r="D486" s="180"/>
      <c r="E486" s="182"/>
      <c r="F486" s="215"/>
      <c r="G486" s="167"/>
      <c r="H486" s="182"/>
      <c r="I486" s="182"/>
      <c r="J486" s="206"/>
      <c r="K486" s="206"/>
      <c r="L486" s="206"/>
      <c r="M486" s="206"/>
    </row>
    <row r="487" spans="1:13">
      <c r="A487" s="18"/>
      <c r="B487" s="18"/>
      <c r="C487" s="206"/>
      <c r="D487" s="189"/>
      <c r="E487" s="182"/>
      <c r="F487" s="228"/>
      <c r="G487" s="167"/>
      <c r="H487" s="182"/>
      <c r="I487" s="182"/>
      <c r="J487" s="206"/>
      <c r="K487" s="167"/>
      <c r="L487" s="206"/>
      <c r="M487" s="206"/>
    </row>
    <row r="488" spans="1:13">
      <c r="A488" s="18"/>
      <c r="B488" s="18"/>
      <c r="C488" s="235"/>
      <c r="D488" s="189"/>
      <c r="E488" s="189"/>
      <c r="F488" s="215"/>
      <c r="G488" s="181"/>
      <c r="H488" s="185"/>
      <c r="I488" s="185"/>
      <c r="J488" s="206"/>
      <c r="K488" s="167"/>
      <c r="L488" s="206"/>
      <c r="M488" s="206"/>
    </row>
    <row r="489" spans="1:13">
      <c r="A489" s="18"/>
      <c r="B489" s="18"/>
      <c r="C489" s="235"/>
      <c r="D489" s="189"/>
      <c r="E489" s="189"/>
      <c r="F489" s="215"/>
      <c r="G489" s="189"/>
      <c r="H489" s="234"/>
      <c r="I489" s="234"/>
      <c r="J489" s="206"/>
      <c r="K489" s="189"/>
      <c r="L489" s="176"/>
      <c r="M489" s="206"/>
    </row>
    <row r="490" spans="1:13">
      <c r="A490" s="18"/>
      <c r="B490" s="18"/>
      <c r="C490" s="322"/>
      <c r="D490" s="322"/>
      <c r="E490" s="322"/>
      <c r="F490" s="322"/>
      <c r="G490" s="322"/>
      <c r="H490" s="322"/>
      <c r="I490" s="322"/>
      <c r="J490" s="206"/>
      <c r="K490" s="189"/>
      <c r="L490" s="176"/>
      <c r="M490" s="206"/>
    </row>
    <row r="491" spans="1:13">
      <c r="A491" s="18"/>
      <c r="B491" s="18"/>
      <c r="C491" s="235"/>
      <c r="D491" s="189"/>
      <c r="E491" s="189"/>
      <c r="F491" s="215"/>
      <c r="G491" s="189"/>
      <c r="H491" s="236"/>
      <c r="I491" s="236"/>
      <c r="J491" s="206"/>
      <c r="K491" s="189"/>
      <c r="L491" s="176"/>
      <c r="M491" s="206"/>
    </row>
    <row r="492" spans="1:13">
      <c r="A492" s="18"/>
      <c r="B492" s="18"/>
      <c r="C492" s="235"/>
      <c r="D492" s="180"/>
      <c r="E492" s="180"/>
      <c r="F492" s="180"/>
      <c r="G492" s="167"/>
      <c r="H492" s="180"/>
      <c r="I492" s="180"/>
      <c r="J492" s="206"/>
      <c r="K492" s="189"/>
      <c r="L492" s="176"/>
      <c r="M492" s="206"/>
    </row>
    <row r="493" spans="1:13">
      <c r="A493" s="18"/>
      <c r="B493" s="18"/>
      <c r="C493" s="235"/>
      <c r="D493" s="167"/>
      <c r="E493" s="167"/>
      <c r="F493" s="228"/>
      <c r="G493" s="167"/>
      <c r="H493" s="182"/>
      <c r="I493" s="182"/>
      <c r="J493" s="206"/>
      <c r="K493" s="189"/>
      <c r="L493" s="176"/>
      <c r="M493" s="206"/>
    </row>
    <row r="494" spans="1:13">
      <c r="A494" s="18"/>
      <c r="B494" s="18"/>
      <c r="C494" s="235"/>
      <c r="D494" s="180"/>
      <c r="E494" s="182"/>
      <c r="F494" s="228"/>
      <c r="G494" s="167"/>
      <c r="H494" s="182"/>
      <c r="I494" s="182"/>
      <c r="J494" s="206"/>
      <c r="K494" s="189"/>
      <c r="L494" s="176"/>
      <c r="M494" s="206"/>
    </row>
    <row r="495" spans="1:13">
      <c r="A495" s="18"/>
      <c r="B495" s="18"/>
      <c r="C495" s="235"/>
      <c r="D495" s="180"/>
      <c r="E495" s="182"/>
      <c r="F495" s="228"/>
      <c r="G495" s="167"/>
      <c r="H495" s="182"/>
      <c r="I495" s="182"/>
      <c r="J495" s="206"/>
      <c r="K495" s="189"/>
      <c r="L495" s="176"/>
      <c r="M495" s="206"/>
    </row>
    <row r="496" spans="1:13">
      <c r="A496" s="18"/>
      <c r="B496" s="18"/>
      <c r="C496" s="235"/>
      <c r="D496" s="180"/>
      <c r="E496" s="182"/>
      <c r="F496" s="312"/>
      <c r="G496" s="167"/>
      <c r="H496" s="182"/>
      <c r="I496" s="182"/>
      <c r="J496" s="206"/>
      <c r="K496" s="189"/>
      <c r="L496" s="176"/>
      <c r="M496" s="206"/>
    </row>
    <row r="497" spans="1:13">
      <c r="A497" s="18"/>
      <c r="B497" s="18"/>
      <c r="C497" s="235"/>
      <c r="D497" s="189"/>
      <c r="E497" s="189"/>
      <c r="F497" s="215"/>
      <c r="G497" s="18"/>
      <c r="H497" s="185"/>
      <c r="I497" s="185"/>
      <c r="J497" s="206"/>
      <c r="K497" s="189"/>
      <c r="L497" s="176"/>
      <c r="M497" s="206"/>
    </row>
    <row r="498" spans="1:13">
      <c r="A498" s="18"/>
      <c r="B498" s="18"/>
      <c r="C498" s="235"/>
      <c r="D498" s="189"/>
      <c r="E498" s="189"/>
      <c r="F498" s="215"/>
      <c r="G498" s="189"/>
      <c r="H498" s="234"/>
      <c r="I498" s="234"/>
      <c r="J498" s="206"/>
      <c r="K498" s="189"/>
      <c r="L498" s="176"/>
      <c r="M498" s="206"/>
    </row>
    <row r="499" spans="1:13">
      <c r="A499" s="313"/>
      <c r="B499" s="181"/>
      <c r="C499" s="232"/>
      <c r="D499" s="232"/>
      <c r="E499" s="189"/>
      <c r="F499" s="215"/>
      <c r="G499" s="189"/>
      <c r="H499" s="234"/>
      <c r="I499" s="234"/>
      <c r="J499" s="206"/>
      <c r="K499" s="189"/>
      <c r="L499" s="176"/>
      <c r="M499" s="206"/>
    </row>
    <row r="500" spans="1:13">
      <c r="A500" s="18"/>
      <c r="B500" s="18"/>
      <c r="C500" s="235"/>
      <c r="D500" s="189"/>
      <c r="E500" s="189"/>
      <c r="F500" s="215"/>
      <c r="G500" s="189"/>
      <c r="H500" s="234"/>
      <c r="I500" s="234"/>
      <c r="J500" s="206"/>
      <c r="K500" s="189"/>
      <c r="L500" s="176"/>
      <c r="M500" s="206"/>
    </row>
    <row r="501" spans="1:13">
      <c r="A501" s="18"/>
      <c r="B501" s="18"/>
      <c r="C501" s="322"/>
      <c r="D501" s="322"/>
      <c r="E501" s="322"/>
      <c r="F501" s="322"/>
      <c r="G501" s="322"/>
      <c r="H501" s="322"/>
      <c r="I501" s="322"/>
      <c r="J501" s="206"/>
      <c r="K501" s="237"/>
      <c r="L501" s="175"/>
      <c r="M501" s="206"/>
    </row>
    <row r="502" spans="1:13">
      <c r="A502" s="18"/>
      <c r="B502" s="18"/>
      <c r="C502" s="235"/>
      <c r="D502" s="189"/>
      <c r="E502" s="189"/>
      <c r="F502" s="215"/>
      <c r="G502" s="189"/>
      <c r="H502" s="234"/>
      <c r="I502" s="234"/>
      <c r="J502" s="206"/>
      <c r="K502" s="206"/>
      <c r="L502" s="206"/>
      <c r="M502" s="206"/>
    </row>
    <row r="503" spans="1:13">
      <c r="A503" s="18"/>
      <c r="B503" s="18"/>
      <c r="C503" s="180"/>
      <c r="D503" s="180"/>
      <c r="E503" s="180"/>
      <c r="F503" s="18"/>
      <c r="G503" s="180"/>
      <c r="H503" s="18"/>
      <c r="I503" s="18"/>
      <c r="J503" s="206"/>
      <c r="K503" s="206"/>
      <c r="L503" s="206"/>
      <c r="M503" s="206"/>
    </row>
    <row r="504" spans="1:13">
      <c r="A504" s="18"/>
      <c r="B504" s="18"/>
      <c r="C504" s="189"/>
      <c r="D504" s="171"/>
      <c r="E504" s="314"/>
      <c r="F504" s="18"/>
      <c r="G504" s="185"/>
      <c r="H504" s="238"/>
      <c r="I504" s="238"/>
      <c r="J504" s="206"/>
      <c r="K504" s="206"/>
      <c r="L504" s="206"/>
      <c r="M504" s="206"/>
    </row>
    <row r="505" spans="1:13">
      <c r="A505" s="18"/>
      <c r="B505" s="18"/>
      <c r="C505" s="189"/>
      <c r="D505" s="189"/>
      <c r="E505" s="240"/>
      <c r="F505" s="239"/>
      <c r="G505" s="185"/>
      <c r="H505" s="238"/>
      <c r="I505" s="238"/>
      <c r="J505" s="206"/>
      <c r="K505" s="206"/>
      <c r="L505" s="206"/>
      <c r="M505" s="206"/>
    </row>
    <row r="506" spans="1:13">
      <c r="A506" s="18"/>
      <c r="B506" s="18"/>
      <c r="C506" s="235"/>
      <c r="D506" s="189"/>
      <c r="E506" s="189"/>
      <c r="F506" s="215"/>
      <c r="G506" s="189"/>
      <c r="H506" s="234"/>
      <c r="I506" s="234"/>
      <c r="J506" s="206"/>
      <c r="K506" s="206"/>
      <c r="L506" s="206"/>
      <c r="M506" s="206"/>
    </row>
    <row r="507" spans="1:13">
      <c r="A507" s="18"/>
      <c r="B507" s="18"/>
      <c r="C507" s="235"/>
      <c r="D507" s="171"/>
      <c r="E507" s="171"/>
      <c r="F507" s="171"/>
      <c r="G507" s="171"/>
      <c r="H507" s="234"/>
      <c r="I507" s="234"/>
      <c r="J507" s="206"/>
      <c r="K507" s="206"/>
      <c r="L507" s="206"/>
      <c r="M507" s="206"/>
    </row>
    <row r="508" spans="1:13">
      <c r="A508" s="18"/>
      <c r="B508" s="18"/>
      <c r="C508" s="235"/>
      <c r="D508" s="189"/>
      <c r="E508" s="189"/>
      <c r="F508" s="189"/>
      <c r="G508" s="189"/>
      <c r="H508" s="234"/>
      <c r="I508" s="234"/>
      <c r="J508" s="206"/>
      <c r="K508" s="206"/>
      <c r="L508" s="206"/>
      <c r="M508" s="206"/>
    </row>
    <row r="509" spans="1:13">
      <c r="A509" s="18"/>
      <c r="B509" s="18"/>
      <c r="C509" s="235"/>
      <c r="D509" s="189"/>
      <c r="E509" s="189"/>
      <c r="F509" s="189"/>
      <c r="G509" s="189"/>
      <c r="H509" s="234"/>
      <c r="I509" s="234"/>
      <c r="J509" s="206"/>
      <c r="K509" s="206"/>
      <c r="L509" s="206"/>
      <c r="M509" s="206"/>
    </row>
    <row r="510" spans="1:13">
      <c r="A510" s="18"/>
      <c r="B510" s="18"/>
      <c r="C510" s="235"/>
      <c r="D510" s="189"/>
      <c r="E510" s="189"/>
      <c r="F510" s="215"/>
      <c r="G510" s="189"/>
      <c r="H510" s="234"/>
      <c r="I510" s="234"/>
      <c r="J510" s="206"/>
      <c r="K510" s="206"/>
      <c r="L510" s="206"/>
      <c r="M510" s="206"/>
    </row>
    <row r="511" spans="1:13">
      <c r="A511" s="18"/>
      <c r="B511" s="18"/>
      <c r="C511" s="18"/>
      <c r="D511" s="180"/>
      <c r="E511" s="180"/>
      <c r="F511" s="180"/>
      <c r="G511" s="18"/>
      <c r="H511" s="206"/>
      <c r="I511" s="206"/>
      <c r="J511" s="206"/>
      <c r="K511" s="206"/>
      <c r="L511" s="206"/>
      <c r="M511" s="206"/>
    </row>
    <row r="512" spans="1:13">
      <c r="A512" s="18"/>
      <c r="B512" s="18"/>
      <c r="C512" s="18"/>
      <c r="D512" s="171"/>
      <c r="E512" s="314"/>
      <c r="F512" s="239"/>
      <c r="G512" s="238"/>
      <c r="H512" s="206"/>
      <c r="I512" s="206"/>
      <c r="J512" s="206"/>
      <c r="K512" s="206"/>
      <c r="L512" s="206"/>
      <c r="M512" s="206"/>
    </row>
    <row r="513" spans="1:13">
      <c r="A513" s="18"/>
      <c r="B513" s="18"/>
      <c r="C513" s="18"/>
      <c r="D513" s="171"/>
      <c r="E513" s="314"/>
      <c r="F513" s="239"/>
      <c r="G513" s="238"/>
      <c r="H513" s="206"/>
      <c r="I513" s="206"/>
      <c r="J513" s="206"/>
      <c r="K513" s="206"/>
      <c r="L513" s="206"/>
      <c r="M513" s="206"/>
    </row>
    <row r="514" spans="1:13">
      <c r="A514" s="18"/>
      <c r="B514" s="18"/>
      <c r="C514" s="235"/>
      <c r="D514" s="189"/>
      <c r="E514" s="240"/>
      <c r="F514" s="239"/>
      <c r="G514" s="238"/>
      <c r="H514" s="206"/>
      <c r="I514" s="206"/>
      <c r="J514" s="206"/>
      <c r="K514" s="206"/>
      <c r="L514" s="206"/>
      <c r="M514" s="206"/>
    </row>
    <row r="515" spans="1:13">
      <c r="A515" s="18"/>
      <c r="B515" s="18"/>
      <c r="C515" s="235"/>
      <c r="D515" s="189"/>
      <c r="E515" s="240"/>
      <c r="F515" s="239"/>
      <c r="G515" s="238"/>
      <c r="H515" s="206"/>
      <c r="I515" s="206"/>
      <c r="J515" s="206"/>
      <c r="K515" s="206"/>
      <c r="L515" s="206"/>
      <c r="M515" s="206"/>
    </row>
    <row r="516" spans="1:13">
      <c r="A516" s="18"/>
      <c r="B516" s="18"/>
      <c r="C516" s="235"/>
      <c r="D516" s="189"/>
      <c r="E516" s="189"/>
      <c r="F516" s="215"/>
      <c r="G516" s="189"/>
      <c r="H516" s="236"/>
      <c r="I516" s="236"/>
      <c r="J516" s="206"/>
      <c r="K516" s="206"/>
      <c r="L516" s="206"/>
      <c r="M516" s="206"/>
    </row>
    <row r="517" spans="1:13">
      <c r="A517" s="18"/>
      <c r="B517" s="18"/>
      <c r="C517" s="235"/>
      <c r="D517" s="189"/>
      <c r="E517" s="189"/>
      <c r="F517" s="215"/>
      <c r="G517" s="189"/>
      <c r="H517" s="236"/>
      <c r="I517" s="236"/>
      <c r="J517" s="206"/>
      <c r="K517" s="206"/>
      <c r="L517" s="206"/>
      <c r="M517" s="206"/>
    </row>
    <row r="518" spans="1:13">
      <c r="A518" s="18"/>
      <c r="B518" s="18"/>
      <c r="C518" s="235"/>
      <c r="D518" s="180"/>
      <c r="E518" s="180"/>
      <c r="F518" s="215"/>
      <c r="G518" s="189"/>
      <c r="H518" s="236"/>
      <c r="I518" s="236"/>
      <c r="J518" s="206"/>
      <c r="K518" s="206"/>
      <c r="L518" s="206"/>
      <c r="M518" s="206"/>
    </row>
    <row r="519" spans="1:13">
      <c r="A519" s="18"/>
      <c r="B519" s="18"/>
      <c r="C519" s="18"/>
      <c r="D519" s="189"/>
      <c r="E519" s="240"/>
      <c r="F519" s="239"/>
      <c r="G519" s="189"/>
      <c r="H519" s="236"/>
      <c r="I519" s="236"/>
      <c r="J519" s="206"/>
      <c r="K519" s="206"/>
      <c r="L519" s="206"/>
      <c r="M519" s="206"/>
    </row>
    <row r="520" spans="1:13">
      <c r="A520" s="18"/>
      <c r="B520" s="18"/>
      <c r="C520" s="235"/>
      <c r="D520" s="189"/>
      <c r="E520" s="240"/>
      <c r="F520" s="239"/>
      <c r="G520" s="238"/>
      <c r="H520" s="206"/>
      <c r="I520" s="206"/>
      <c r="J520" s="206"/>
      <c r="K520" s="206"/>
      <c r="L520" s="206"/>
      <c r="M520" s="206"/>
    </row>
    <row r="521" spans="1:13">
      <c r="A521" s="18"/>
      <c r="B521" s="18"/>
      <c r="C521" s="235"/>
      <c r="D521" s="189"/>
      <c r="E521" s="189"/>
      <c r="F521" s="215"/>
      <c r="G521" s="189"/>
      <c r="H521" s="234"/>
      <c r="I521" s="234"/>
      <c r="J521" s="206"/>
      <c r="K521" s="206"/>
      <c r="L521" s="206"/>
      <c r="M521" s="206"/>
    </row>
    <row r="522" spans="1:13">
      <c r="A522" s="18"/>
      <c r="B522" s="18"/>
      <c r="C522" s="235"/>
      <c r="D522" s="189"/>
      <c r="E522" s="189"/>
      <c r="F522" s="215"/>
      <c r="G522" s="189"/>
      <c r="H522" s="234"/>
      <c r="I522" s="234"/>
      <c r="J522" s="206"/>
      <c r="K522" s="206"/>
      <c r="L522" s="206"/>
      <c r="M522" s="206"/>
    </row>
    <row r="523" spans="1:13">
      <c r="A523" s="18"/>
      <c r="B523" s="18"/>
      <c r="C523" s="235"/>
      <c r="D523" s="180"/>
      <c r="E523" s="180"/>
      <c r="F523" s="180"/>
      <c r="G523" s="189"/>
      <c r="H523" s="234"/>
      <c r="I523" s="234"/>
      <c r="J523" s="206"/>
      <c r="K523" s="206"/>
      <c r="L523" s="206"/>
      <c r="M523" s="206"/>
    </row>
    <row r="524" spans="1:13">
      <c r="A524" s="18"/>
      <c r="B524" s="18"/>
      <c r="C524" s="235"/>
      <c r="D524" s="189"/>
      <c r="E524" s="240"/>
      <c r="F524" s="239"/>
      <c r="G524" s="189"/>
      <c r="H524" s="234"/>
      <c r="I524" s="234"/>
      <c r="J524" s="206"/>
      <c r="K524" s="206"/>
      <c r="L524" s="206"/>
      <c r="M524" s="206"/>
    </row>
    <row r="525" spans="1:13">
      <c r="A525" s="18"/>
      <c r="B525" s="18"/>
      <c r="C525" s="235"/>
      <c r="D525" s="189"/>
      <c r="E525" s="189"/>
      <c r="F525" s="215"/>
      <c r="G525" s="189"/>
      <c r="H525" s="234"/>
      <c r="I525" s="234"/>
      <c r="J525" s="206"/>
      <c r="K525" s="206"/>
      <c r="L525" s="206"/>
      <c r="M525" s="206"/>
    </row>
    <row r="526" spans="1:13">
      <c r="A526" s="18"/>
      <c r="B526" s="18"/>
      <c r="C526" s="323"/>
      <c r="D526" s="323"/>
      <c r="E526" s="323"/>
      <c r="F526" s="323"/>
      <c r="G526" s="323"/>
      <c r="H526" s="241"/>
      <c r="I526" s="241"/>
      <c r="J526" s="206"/>
      <c r="K526" s="206"/>
      <c r="L526" s="206"/>
      <c r="M526" s="206"/>
    </row>
    <row r="527" spans="1:13">
      <c r="A527" s="18"/>
      <c r="B527" s="18"/>
      <c r="C527" s="241"/>
      <c r="D527" s="241"/>
      <c r="E527" s="241"/>
      <c r="F527" s="241"/>
      <c r="G527" s="241"/>
      <c r="H527" s="241"/>
      <c r="I527" s="241"/>
      <c r="J527" s="206"/>
      <c r="K527" s="206"/>
      <c r="L527" s="206"/>
      <c r="M527" s="206"/>
    </row>
    <row r="528" spans="1:13">
      <c r="A528" s="18"/>
      <c r="B528" s="18"/>
      <c r="C528" s="235"/>
      <c r="D528" s="180"/>
      <c r="E528" s="180"/>
      <c r="F528" s="215"/>
      <c r="G528" s="189"/>
      <c r="H528" s="236"/>
      <c r="I528" s="236"/>
      <c r="J528" s="206"/>
      <c r="K528" s="206"/>
      <c r="L528" s="206"/>
      <c r="M528" s="206"/>
    </row>
    <row r="529" spans="1:13">
      <c r="A529" s="18"/>
      <c r="B529" s="18"/>
      <c r="C529" s="235"/>
      <c r="D529" s="189"/>
      <c r="E529" s="240"/>
      <c r="F529" s="239"/>
      <c r="G529" s="189"/>
      <c r="H529" s="236"/>
      <c r="I529" s="236"/>
      <c r="J529" s="206"/>
      <c r="K529" s="206"/>
      <c r="L529" s="206"/>
      <c r="M529" s="206"/>
    </row>
    <row r="530" spans="1:13">
      <c r="A530" s="18"/>
      <c r="B530" s="18"/>
      <c r="C530" s="235"/>
      <c r="D530" s="189"/>
      <c r="E530" s="189"/>
      <c r="F530" s="215"/>
      <c r="G530" s="189"/>
      <c r="H530" s="236"/>
      <c r="I530" s="236"/>
      <c r="J530" s="206"/>
      <c r="K530" s="206"/>
      <c r="L530" s="206"/>
      <c r="M530" s="206"/>
    </row>
    <row r="531" spans="1:13">
      <c r="A531" s="18"/>
      <c r="B531" s="18"/>
      <c r="C531" s="235"/>
      <c r="D531" s="189"/>
      <c r="E531" s="189"/>
      <c r="F531" s="215"/>
      <c r="G531" s="189"/>
      <c r="H531" s="236"/>
      <c r="I531" s="236"/>
      <c r="J531" s="206"/>
      <c r="K531" s="206"/>
      <c r="L531" s="206"/>
      <c r="M531" s="206"/>
    </row>
    <row r="532" spans="1:13">
      <c r="A532" s="18"/>
      <c r="B532" s="18"/>
      <c r="C532" s="235"/>
      <c r="D532" s="189"/>
      <c r="E532" s="189"/>
      <c r="F532" s="215"/>
      <c r="G532" s="189"/>
      <c r="H532" s="236"/>
      <c r="I532" s="236"/>
      <c r="J532" s="206"/>
      <c r="K532" s="206"/>
      <c r="L532" s="206"/>
      <c r="M532" s="206"/>
    </row>
    <row r="533" spans="1:13">
      <c r="A533" s="18"/>
      <c r="B533" s="18"/>
      <c r="C533" s="235"/>
      <c r="D533" s="180"/>
      <c r="E533" s="180"/>
      <c r="F533" s="215"/>
      <c r="G533" s="189"/>
      <c r="H533" s="236"/>
      <c r="I533" s="236"/>
      <c r="J533" s="206"/>
      <c r="K533" s="206"/>
      <c r="L533" s="206"/>
      <c r="M533" s="206"/>
    </row>
    <row r="534" spans="1:13">
      <c r="A534" s="18"/>
      <c r="B534" s="18"/>
      <c r="C534" s="235"/>
      <c r="D534" s="189"/>
      <c r="E534" s="240"/>
      <c r="F534" s="239"/>
      <c r="G534" s="189"/>
      <c r="H534" s="236"/>
      <c r="I534" s="236"/>
      <c r="J534" s="206"/>
      <c r="K534" s="206"/>
      <c r="L534" s="206"/>
      <c r="M534" s="206"/>
    </row>
    <row r="535" spans="1:13">
      <c r="A535" s="18"/>
      <c r="B535" s="18"/>
      <c r="C535" s="235"/>
      <c r="D535" s="189"/>
      <c r="E535" s="189"/>
      <c r="F535" s="215"/>
      <c r="G535" s="189"/>
      <c r="H535" s="236"/>
      <c r="I535" s="236"/>
      <c r="J535" s="206"/>
      <c r="K535" s="206"/>
      <c r="L535" s="206"/>
      <c r="M535" s="206"/>
    </row>
    <row r="536" spans="1:13">
      <c r="A536" s="18"/>
      <c r="B536" s="18"/>
      <c r="C536" s="235"/>
      <c r="D536" s="189"/>
      <c r="E536" s="189"/>
      <c r="F536" s="215"/>
      <c r="G536" s="189"/>
      <c r="H536" s="236"/>
      <c r="I536" s="236"/>
      <c r="J536" s="206"/>
      <c r="K536" s="206"/>
      <c r="L536" s="206"/>
      <c r="M536" s="206"/>
    </row>
    <row r="537" spans="1:13">
      <c r="A537" s="18"/>
      <c r="B537" s="18"/>
      <c r="C537" s="235"/>
      <c r="D537" s="189"/>
      <c r="E537" s="189"/>
      <c r="F537" s="215"/>
      <c r="G537" s="189"/>
      <c r="H537" s="236"/>
      <c r="I537" s="236"/>
      <c r="J537" s="206"/>
      <c r="K537" s="206"/>
      <c r="L537" s="206"/>
      <c r="M537" s="206"/>
    </row>
    <row r="538" spans="1:13">
      <c r="A538" s="18"/>
      <c r="B538" s="18"/>
      <c r="C538" s="180"/>
      <c r="D538" s="180"/>
      <c r="E538" s="180"/>
      <c r="F538" s="180"/>
      <c r="G538" s="18"/>
      <c r="H538" s="236"/>
      <c r="I538" s="236"/>
      <c r="J538" s="206"/>
      <c r="K538" s="206"/>
      <c r="L538" s="206"/>
      <c r="M538" s="206"/>
    </row>
    <row r="539" spans="1:13">
      <c r="A539" s="18"/>
      <c r="B539" s="18"/>
      <c r="C539" s="180"/>
      <c r="D539" s="180"/>
      <c r="E539" s="180"/>
      <c r="F539" s="180"/>
      <c r="G539" s="18"/>
      <c r="H539" s="236"/>
      <c r="I539" s="236"/>
      <c r="J539" s="206"/>
      <c r="K539" s="206"/>
      <c r="L539" s="206"/>
      <c r="M539" s="206"/>
    </row>
    <row r="540" spans="1:13">
      <c r="A540" s="18"/>
      <c r="B540" s="18"/>
      <c r="C540" s="167"/>
      <c r="D540" s="180"/>
      <c r="E540" s="180"/>
      <c r="F540" s="180"/>
      <c r="G540" s="18"/>
      <c r="H540" s="236"/>
      <c r="I540" s="236"/>
      <c r="J540" s="206"/>
      <c r="K540" s="206"/>
      <c r="L540" s="206"/>
      <c r="M540" s="206"/>
    </row>
    <row r="541" spans="1:13">
      <c r="A541" s="18"/>
      <c r="B541" s="18"/>
      <c r="C541" s="180"/>
      <c r="D541" s="180"/>
      <c r="E541" s="180"/>
      <c r="F541" s="180"/>
      <c r="G541" s="18"/>
      <c r="H541" s="236"/>
      <c r="I541" s="236"/>
      <c r="J541" s="206"/>
      <c r="K541" s="206"/>
      <c r="L541" s="206"/>
      <c r="M541" s="206"/>
    </row>
    <row r="542" spans="1:13">
      <c r="A542" s="18"/>
      <c r="B542" s="18"/>
      <c r="C542" s="180"/>
      <c r="D542" s="180"/>
      <c r="E542" s="180"/>
      <c r="F542" s="180"/>
      <c r="G542" s="18"/>
      <c r="H542" s="236"/>
      <c r="I542" s="236"/>
      <c r="J542" s="206"/>
      <c r="K542" s="206"/>
      <c r="L542" s="206"/>
      <c r="M542" s="206"/>
    </row>
    <row r="543" spans="1:13">
      <c r="A543" s="18"/>
      <c r="B543" s="18"/>
      <c r="C543" s="18"/>
      <c r="D543" s="18"/>
      <c r="E543" s="18"/>
      <c r="F543" s="271"/>
      <c r="G543" s="184"/>
      <c r="H543" s="236"/>
      <c r="I543" s="236"/>
      <c r="J543" s="206"/>
      <c r="K543" s="206"/>
      <c r="L543" s="206"/>
      <c r="M543" s="206"/>
    </row>
    <row r="544" spans="1:13">
      <c r="A544" s="18"/>
      <c r="B544" s="18"/>
      <c r="C544" s="235"/>
      <c r="D544" s="189"/>
      <c r="E544" s="189"/>
      <c r="F544" s="215"/>
      <c r="G544" s="189"/>
      <c r="H544" s="236"/>
      <c r="I544" s="236"/>
      <c r="J544" s="206"/>
      <c r="K544" s="206"/>
      <c r="L544" s="206"/>
      <c r="M544" s="206"/>
    </row>
    <row r="545" spans="1:13">
      <c r="A545" s="18"/>
      <c r="B545" s="18"/>
      <c r="C545" s="235"/>
      <c r="D545" s="189"/>
      <c r="E545" s="189"/>
      <c r="F545" s="215"/>
      <c r="G545" s="189"/>
      <c r="H545" s="236"/>
      <c r="I545" s="236"/>
      <c r="J545" s="206"/>
      <c r="K545" s="206"/>
      <c r="L545" s="206"/>
      <c r="M545" s="206"/>
    </row>
    <row r="546" spans="1:13">
      <c r="A546" s="18"/>
      <c r="B546" s="18"/>
      <c r="C546" s="235"/>
      <c r="D546" s="189"/>
      <c r="E546" s="189"/>
      <c r="F546" s="215"/>
      <c r="G546" s="189"/>
      <c r="H546" s="236"/>
      <c r="I546" s="236"/>
      <c r="J546" s="206"/>
      <c r="K546" s="206"/>
      <c r="L546" s="206"/>
      <c r="M546" s="206"/>
    </row>
    <row r="547" spans="1:13">
      <c r="A547" s="18"/>
      <c r="B547" s="18"/>
      <c r="C547" s="180"/>
      <c r="D547" s="180"/>
      <c r="E547" s="180"/>
      <c r="F547" s="180"/>
      <c r="G547" s="167"/>
      <c r="H547" s="236"/>
      <c r="I547" s="236"/>
      <c r="J547" s="206"/>
      <c r="K547" s="206"/>
      <c r="L547" s="206"/>
      <c r="M547" s="206"/>
    </row>
    <row r="548" spans="1:13">
      <c r="A548" s="18"/>
      <c r="B548" s="18"/>
      <c r="C548" s="167"/>
      <c r="D548" s="182"/>
      <c r="E548" s="167"/>
      <c r="F548" s="182"/>
      <c r="G548" s="167"/>
      <c r="H548" s="236"/>
      <c r="I548" s="236"/>
      <c r="J548" s="206"/>
      <c r="K548" s="206"/>
      <c r="L548" s="206"/>
      <c r="M548" s="206"/>
    </row>
    <row r="549" spans="1:13">
      <c r="A549" s="18"/>
      <c r="B549" s="18"/>
      <c r="C549" s="167"/>
      <c r="D549" s="182"/>
      <c r="E549" s="167"/>
      <c r="F549" s="182"/>
      <c r="G549" s="167"/>
      <c r="H549" s="236"/>
      <c r="I549" s="236"/>
      <c r="J549" s="206"/>
      <c r="K549" s="206"/>
      <c r="L549" s="206"/>
      <c r="M549" s="206"/>
    </row>
    <row r="550" spans="1:13">
      <c r="A550" s="18"/>
      <c r="B550" s="18"/>
      <c r="C550" s="167"/>
      <c r="D550" s="182"/>
      <c r="E550" s="167"/>
      <c r="F550" s="182"/>
      <c r="G550" s="167"/>
      <c r="H550" s="236"/>
      <c r="I550" s="236"/>
      <c r="J550" s="206"/>
      <c r="K550" s="206"/>
      <c r="L550" s="206"/>
      <c r="M550" s="206"/>
    </row>
    <row r="551" spans="1:13">
      <c r="A551" s="18"/>
      <c r="B551" s="18"/>
      <c r="C551" s="167"/>
      <c r="D551" s="182"/>
      <c r="E551" s="167"/>
      <c r="F551" s="182"/>
      <c r="G551" s="167"/>
      <c r="H551" s="236"/>
      <c r="I551" s="236"/>
      <c r="J551" s="206"/>
      <c r="K551" s="206"/>
      <c r="L551" s="206"/>
      <c r="M551" s="206"/>
    </row>
    <row r="552" spans="1:13">
      <c r="A552" s="18"/>
      <c r="B552" s="18"/>
      <c r="C552" s="167"/>
      <c r="D552" s="182"/>
      <c r="E552" s="180"/>
      <c r="F552" s="182"/>
      <c r="G552" s="180"/>
      <c r="H552" s="236"/>
      <c r="I552" s="236"/>
      <c r="J552" s="206"/>
      <c r="K552" s="206"/>
      <c r="L552" s="206"/>
      <c r="M552" s="206"/>
    </row>
    <row r="553" spans="1:13">
      <c r="A553" s="18"/>
      <c r="B553" s="18"/>
      <c r="C553" s="167"/>
      <c r="D553" s="182"/>
      <c r="E553" s="180"/>
      <c r="F553" s="182"/>
      <c r="G553" s="180"/>
      <c r="H553" s="236"/>
      <c r="I553" s="236"/>
      <c r="J553" s="206"/>
      <c r="K553" s="206"/>
      <c r="L553" s="206"/>
      <c r="M553" s="206"/>
    </row>
    <row r="554" spans="1:13">
      <c r="A554" s="18"/>
      <c r="B554" s="18"/>
      <c r="C554" s="167"/>
      <c r="D554" s="182"/>
      <c r="E554" s="180"/>
      <c r="F554" s="182"/>
      <c r="G554" s="180"/>
      <c r="H554" s="236"/>
      <c r="I554" s="236"/>
      <c r="J554" s="206"/>
      <c r="K554" s="206"/>
      <c r="L554" s="206"/>
      <c r="M554" s="206"/>
    </row>
    <row r="555" spans="1:13">
      <c r="A555" s="18"/>
      <c r="B555" s="18"/>
      <c r="C555" s="180"/>
      <c r="D555" s="189"/>
      <c r="E555" s="180"/>
      <c r="F555" s="185"/>
      <c r="G555" s="309"/>
      <c r="H555" s="236"/>
      <c r="I555" s="236"/>
      <c r="J555" s="206"/>
      <c r="K555" s="206"/>
      <c r="L555" s="206"/>
      <c r="M555" s="206"/>
    </row>
    <row r="556" spans="1:13">
      <c r="A556" s="18"/>
      <c r="B556" s="18"/>
      <c r="C556" s="235"/>
      <c r="D556" s="189"/>
      <c r="E556" s="189"/>
      <c r="F556" s="215"/>
      <c r="G556" s="189"/>
      <c r="H556" s="236"/>
      <c r="I556" s="236"/>
      <c r="J556" s="206"/>
      <c r="K556" s="206"/>
      <c r="L556" s="206"/>
      <c r="M556" s="206"/>
    </row>
    <row r="557" spans="1:13">
      <c r="A557" s="18"/>
      <c r="B557" s="18"/>
      <c r="C557" s="322"/>
      <c r="D557" s="322"/>
      <c r="E557" s="322"/>
      <c r="F557" s="322"/>
      <c r="G557" s="322"/>
      <c r="H557" s="236"/>
      <c r="I557" s="236"/>
      <c r="J557" s="206"/>
      <c r="K557" s="206"/>
      <c r="L557" s="206"/>
      <c r="M557" s="206"/>
    </row>
    <row r="558" spans="1:13">
      <c r="A558" s="18"/>
      <c r="B558" s="18"/>
      <c r="C558" s="235"/>
      <c r="D558" s="189"/>
      <c r="E558" s="189"/>
      <c r="F558" s="189"/>
      <c r="G558" s="189"/>
      <c r="H558" s="236"/>
      <c r="I558" s="236"/>
      <c r="J558" s="206"/>
      <c r="K558" s="206"/>
      <c r="L558" s="206"/>
      <c r="M558" s="206"/>
    </row>
    <row r="559" spans="1:13">
      <c r="A559" s="18"/>
      <c r="B559" s="18"/>
      <c r="C559" s="167"/>
      <c r="D559" s="180"/>
      <c r="E559" s="180"/>
      <c r="F559" s="180"/>
      <c r="G559" s="180"/>
      <c r="H559" s="181"/>
      <c r="I559" s="181"/>
      <c r="J559" s="206"/>
      <c r="K559" s="206"/>
      <c r="L559" s="206"/>
      <c r="M559" s="206"/>
    </row>
    <row r="560" spans="1:13">
      <c r="A560" s="18"/>
      <c r="B560" s="18"/>
      <c r="C560" s="324"/>
      <c r="D560" s="167"/>
      <c r="E560" s="180"/>
      <c r="F560" s="167"/>
      <c r="G560" s="182"/>
      <c r="H560" s="181"/>
      <c r="I560" s="181"/>
      <c r="J560" s="206"/>
      <c r="K560" s="206"/>
      <c r="L560" s="206"/>
      <c r="M560" s="206"/>
    </row>
    <row r="561" spans="1:13">
      <c r="A561" s="18"/>
      <c r="B561" s="18"/>
      <c r="C561" s="324"/>
      <c r="D561" s="180"/>
      <c r="E561" s="180"/>
      <c r="F561" s="167"/>
      <c r="G561" s="182"/>
      <c r="H561" s="181"/>
      <c r="I561" s="181"/>
      <c r="J561" s="206"/>
      <c r="K561" s="206"/>
      <c r="L561" s="206"/>
      <c r="M561" s="206"/>
    </row>
    <row r="562" spans="1:13">
      <c r="A562" s="18"/>
      <c r="B562" s="18"/>
      <c r="C562" s="324"/>
      <c r="D562" s="167"/>
      <c r="E562" s="182"/>
      <c r="F562" s="167"/>
      <c r="G562" s="182"/>
      <c r="H562" s="181"/>
      <c r="I562" s="181"/>
      <c r="J562" s="206"/>
      <c r="K562" s="206"/>
      <c r="L562" s="206"/>
      <c r="M562" s="206"/>
    </row>
    <row r="563" spans="1:13">
      <c r="A563" s="18"/>
      <c r="B563" s="18"/>
      <c r="C563" s="324"/>
      <c r="D563" s="167"/>
      <c r="E563" s="182"/>
      <c r="F563" s="167"/>
      <c r="G563" s="182"/>
      <c r="H563" s="181"/>
      <c r="I563" s="181"/>
      <c r="J563" s="206"/>
      <c r="K563" s="206"/>
      <c r="L563" s="206"/>
      <c r="M563" s="206"/>
    </row>
    <row r="564" spans="1:13">
      <c r="A564" s="18"/>
      <c r="B564" s="18"/>
      <c r="C564" s="324"/>
      <c r="D564" s="167"/>
      <c r="E564" s="182"/>
      <c r="F564" s="167"/>
      <c r="G564" s="182"/>
      <c r="H564" s="181"/>
      <c r="I564" s="181"/>
      <c r="J564" s="206"/>
      <c r="K564" s="206"/>
      <c r="L564" s="206"/>
      <c r="M564" s="206"/>
    </row>
    <row r="565" spans="1:13">
      <c r="A565" s="18"/>
      <c r="B565" s="18"/>
      <c r="C565" s="324"/>
      <c r="D565" s="167"/>
      <c r="E565" s="182"/>
      <c r="F565" s="167"/>
      <c r="G565" s="182"/>
      <c r="H565" s="181"/>
      <c r="I565" s="181"/>
      <c r="J565" s="206"/>
      <c r="K565" s="206"/>
      <c r="L565" s="206"/>
      <c r="M565" s="206"/>
    </row>
    <row r="566" spans="1:13">
      <c r="A566" s="18"/>
      <c r="B566" s="18"/>
      <c r="C566" s="324"/>
      <c r="D566" s="167"/>
      <c r="E566" s="182"/>
      <c r="F566" s="180"/>
      <c r="G566" s="182"/>
      <c r="H566" s="181"/>
      <c r="I566" s="181"/>
      <c r="J566" s="206"/>
      <c r="K566" s="206"/>
      <c r="L566" s="206"/>
      <c r="M566" s="206"/>
    </row>
    <row r="567" spans="1:13">
      <c r="A567" s="18"/>
      <c r="B567" s="18"/>
      <c r="C567" s="324"/>
      <c r="D567" s="167"/>
      <c r="E567" s="182"/>
      <c r="F567" s="180"/>
      <c r="G567" s="182"/>
      <c r="H567" s="181"/>
      <c r="I567" s="181"/>
      <c r="J567" s="206"/>
      <c r="K567" s="206"/>
      <c r="L567" s="206"/>
      <c r="M567" s="206"/>
    </row>
    <row r="568" spans="1:13">
      <c r="A568" s="18"/>
      <c r="B568" s="18"/>
      <c r="C568" s="324"/>
      <c r="D568" s="167"/>
      <c r="E568" s="182"/>
      <c r="F568" s="180"/>
      <c r="G568" s="182"/>
      <c r="H568" s="181"/>
      <c r="I568" s="181"/>
      <c r="J568" s="206"/>
      <c r="K568" s="206"/>
      <c r="L568" s="206"/>
      <c r="M568" s="206"/>
    </row>
    <row r="569" spans="1:13">
      <c r="A569" s="18"/>
      <c r="B569" s="18"/>
      <c r="C569" s="167"/>
      <c r="D569" s="242"/>
      <c r="E569" s="242"/>
      <c r="F569" s="242"/>
      <c r="G569" s="166"/>
      <c r="H569" s="184"/>
      <c r="I569" s="184"/>
      <c r="J569" s="206"/>
      <c r="K569" s="206"/>
      <c r="L569" s="206"/>
      <c r="M569" s="206"/>
    </row>
    <row r="570" spans="1:13">
      <c r="A570" s="18"/>
      <c r="B570" s="18"/>
      <c r="C570" s="235"/>
      <c r="D570" s="189"/>
      <c r="E570" s="189"/>
      <c r="F570" s="215"/>
      <c r="G570" s="189"/>
      <c r="H570" s="236"/>
      <c r="I570" s="236"/>
      <c r="J570" s="206"/>
      <c r="K570" s="206"/>
      <c r="L570" s="206"/>
      <c r="M570" s="206"/>
    </row>
    <row r="571" spans="1:13">
      <c r="A571" s="18"/>
      <c r="B571" s="18"/>
      <c r="C571" s="235"/>
      <c r="D571" s="235"/>
      <c r="E571" s="235"/>
      <c r="F571" s="235"/>
      <c r="G571" s="189"/>
      <c r="H571" s="236"/>
      <c r="I571" s="236"/>
      <c r="J571" s="206"/>
      <c r="K571" s="206"/>
      <c r="L571" s="206"/>
      <c r="M571" s="206"/>
    </row>
    <row r="572" spans="1:13">
      <c r="A572" s="18"/>
      <c r="B572" s="18"/>
      <c r="C572" s="221"/>
      <c r="D572" s="221"/>
      <c r="E572" s="221"/>
      <c r="F572" s="221"/>
      <c r="G572" s="189"/>
      <c r="H572" s="236"/>
      <c r="I572" s="236"/>
      <c r="J572" s="206"/>
      <c r="K572" s="206"/>
      <c r="L572" s="206"/>
      <c r="M572" s="206"/>
    </row>
    <row r="573" spans="1:13">
      <c r="A573" s="18"/>
      <c r="B573" s="18"/>
      <c r="C573" s="221"/>
      <c r="D573" s="167"/>
      <c r="E573" s="180"/>
      <c r="F573" s="221"/>
      <c r="G573" s="189"/>
      <c r="H573" s="236"/>
      <c r="I573" s="236"/>
      <c r="J573" s="206"/>
      <c r="K573" s="206"/>
      <c r="L573" s="206"/>
      <c r="M573" s="206"/>
    </row>
    <row r="574" spans="1:13">
      <c r="A574" s="18"/>
      <c r="B574" s="18"/>
      <c r="C574" s="175"/>
      <c r="D574" s="252"/>
      <c r="E574" s="315"/>
      <c r="F574" s="221"/>
      <c r="G574" s="189"/>
      <c r="H574" s="236"/>
      <c r="I574" s="236"/>
      <c r="J574" s="206"/>
      <c r="K574" s="206"/>
      <c r="L574" s="206"/>
      <c r="M574" s="206"/>
    </row>
    <row r="575" spans="1:13">
      <c r="A575" s="18"/>
      <c r="B575" s="18"/>
      <c r="C575" s="175"/>
      <c r="D575" s="252"/>
      <c r="E575" s="315"/>
      <c r="F575" s="221"/>
      <c r="G575" s="189"/>
      <c r="H575" s="236"/>
      <c r="I575" s="236"/>
      <c r="J575" s="206"/>
      <c r="K575" s="206"/>
      <c r="L575" s="206"/>
      <c r="M575" s="206"/>
    </row>
    <row r="576" spans="1:13">
      <c r="A576" s="18"/>
      <c r="B576" s="18"/>
      <c r="C576" s="221"/>
      <c r="D576" s="221"/>
      <c r="E576" s="316"/>
      <c r="F576" s="265"/>
      <c r="G576" s="189"/>
      <c r="H576" s="236"/>
      <c r="I576" s="236"/>
      <c r="J576" s="206"/>
      <c r="K576" s="206"/>
      <c r="L576" s="206"/>
      <c r="M576" s="206"/>
    </row>
    <row r="577" spans="1:13">
      <c r="A577" s="18"/>
      <c r="B577" s="18"/>
      <c r="C577" s="235"/>
      <c r="D577" s="189"/>
      <c r="E577" s="189"/>
      <c r="F577" s="215"/>
      <c r="G577" s="189"/>
      <c r="H577" s="236"/>
      <c r="I577" s="236"/>
      <c r="J577" s="206"/>
      <c r="K577" s="206"/>
      <c r="L577" s="206"/>
      <c r="M577" s="206"/>
    </row>
    <row r="578" spans="1:13">
      <c r="A578" s="313"/>
      <c r="B578" s="317"/>
      <c r="C578" s="302"/>
      <c r="D578" s="302"/>
      <c r="E578" s="302"/>
      <c r="F578" s="215"/>
      <c r="G578" s="189"/>
      <c r="H578" s="236"/>
      <c r="I578" s="236"/>
      <c r="J578" s="206"/>
      <c r="K578" s="206"/>
      <c r="L578" s="206"/>
      <c r="M578" s="206"/>
    </row>
    <row r="579" spans="1:13">
      <c r="A579" s="18"/>
      <c r="B579" s="18"/>
      <c r="C579" s="235"/>
      <c r="D579" s="189"/>
      <c r="E579" s="189"/>
      <c r="F579" s="215"/>
      <c r="G579" s="189"/>
      <c r="H579" s="236"/>
      <c r="I579" s="236"/>
      <c r="J579" s="206"/>
      <c r="K579" s="206"/>
      <c r="L579" s="206"/>
      <c r="M579" s="206"/>
    </row>
    <row r="580" spans="1:13">
      <c r="A580" s="18"/>
      <c r="B580" s="18"/>
      <c r="C580" s="325"/>
      <c r="D580" s="325"/>
      <c r="E580" s="325"/>
      <c r="F580" s="325"/>
      <c r="G580" s="325"/>
      <c r="H580" s="325"/>
      <c r="I580" s="325"/>
      <c r="J580" s="206"/>
      <c r="K580" s="206"/>
      <c r="L580" s="206"/>
      <c r="M580" s="206"/>
    </row>
    <row r="581" spans="1:13">
      <c r="A581" s="18"/>
      <c r="B581" s="18"/>
      <c r="C581" s="325"/>
      <c r="D581" s="325"/>
      <c r="E581" s="325"/>
      <c r="F581" s="325"/>
      <c r="G581" s="325"/>
      <c r="H581" s="325"/>
      <c r="I581" s="325"/>
      <c r="J581" s="206"/>
      <c r="K581" s="206"/>
      <c r="L581" s="206"/>
      <c r="M581" s="206"/>
    </row>
    <row r="582" spans="1:13">
      <c r="A582" s="18"/>
      <c r="B582" s="18"/>
      <c r="C582" s="235"/>
      <c r="D582" s="189"/>
      <c r="E582" s="189"/>
      <c r="F582" s="215"/>
      <c r="G582" s="189"/>
      <c r="H582" s="236"/>
      <c r="I582" s="236"/>
      <c r="J582" s="206"/>
      <c r="K582" s="206"/>
      <c r="L582" s="206"/>
      <c r="M582" s="206"/>
    </row>
    <row r="583" spans="1:13">
      <c r="A583" s="18"/>
      <c r="B583" s="18"/>
      <c r="C583" s="235"/>
      <c r="D583" s="167"/>
      <c r="E583" s="180"/>
      <c r="F583" s="221"/>
      <c r="G583" s="189"/>
      <c r="H583" s="236"/>
      <c r="I583" s="236"/>
      <c r="J583" s="206"/>
      <c r="K583" s="206"/>
      <c r="L583" s="206"/>
      <c r="M583" s="206"/>
    </row>
    <row r="584" spans="1:13">
      <c r="A584" s="18"/>
      <c r="B584" s="18"/>
      <c r="C584" s="18"/>
      <c r="D584" s="167"/>
      <c r="E584" s="315"/>
      <c r="F584" s="221"/>
      <c r="G584" s="189"/>
      <c r="H584" s="236"/>
      <c r="I584" s="236"/>
      <c r="J584" s="206"/>
      <c r="K584" s="206"/>
      <c r="L584" s="206"/>
      <c r="M584" s="206"/>
    </row>
    <row r="585" spans="1:13">
      <c r="A585" s="18"/>
      <c r="B585" s="18"/>
      <c r="C585" s="235"/>
      <c r="D585" s="221"/>
      <c r="E585" s="316"/>
      <c r="F585" s="265"/>
      <c r="G585" s="189"/>
      <c r="H585" s="236"/>
      <c r="I585" s="236"/>
      <c r="J585" s="206"/>
      <c r="K585" s="206"/>
      <c r="L585" s="206"/>
      <c r="M585" s="206"/>
    </row>
    <row r="586" spans="1:13">
      <c r="A586" s="18"/>
      <c r="B586" s="18"/>
      <c r="C586" s="235"/>
      <c r="D586" s="243"/>
      <c r="E586" s="171"/>
      <c r="F586" s="171"/>
      <c r="G586" s="171"/>
      <c r="H586" s="236"/>
      <c r="I586" s="236"/>
      <c r="J586" s="206"/>
      <c r="K586" s="206"/>
      <c r="L586" s="206"/>
      <c r="M586" s="206"/>
    </row>
    <row r="587" spans="1:13">
      <c r="A587" s="18"/>
      <c r="B587" s="18"/>
      <c r="C587" s="235"/>
      <c r="D587" s="189"/>
      <c r="E587" s="189"/>
      <c r="F587" s="215"/>
      <c r="G587" s="189"/>
      <c r="H587" s="236"/>
      <c r="I587" s="236"/>
      <c r="J587" s="206"/>
      <c r="K587" s="206"/>
      <c r="L587" s="206"/>
      <c r="M587" s="206"/>
    </row>
    <row r="588" spans="1:13">
      <c r="A588" s="18"/>
      <c r="B588" s="18"/>
      <c r="C588" s="323"/>
      <c r="D588" s="323"/>
      <c r="E588" s="323"/>
      <c r="F588" s="323"/>
      <c r="G588" s="323"/>
      <c r="H588" s="323"/>
      <c r="I588" s="323"/>
      <c r="J588" s="206"/>
      <c r="K588" s="206"/>
      <c r="L588" s="206"/>
      <c r="M588" s="206"/>
    </row>
    <row r="589" spans="1:13">
      <c r="A589" s="18"/>
      <c r="B589" s="18"/>
      <c r="C589" s="323"/>
      <c r="D589" s="323"/>
      <c r="E589" s="323"/>
      <c r="F589" s="323"/>
      <c r="G589" s="323"/>
      <c r="H589" s="323"/>
      <c r="I589" s="323"/>
      <c r="J589" s="206"/>
      <c r="K589" s="206"/>
      <c r="L589" s="206"/>
      <c r="M589" s="206"/>
    </row>
    <row r="590" spans="1:13">
      <c r="A590" s="18"/>
      <c r="B590" s="18"/>
      <c r="C590" s="234"/>
      <c r="D590" s="206"/>
      <c r="E590" s="244"/>
      <c r="F590" s="244"/>
      <c r="G590" s="245"/>
      <c r="H590" s="226"/>
      <c r="I590" s="226"/>
      <c r="J590" s="206"/>
      <c r="K590" s="206"/>
      <c r="L590" s="206"/>
      <c r="M590" s="206"/>
    </row>
    <row r="591" spans="1:13">
      <c r="A591" s="18"/>
      <c r="B591" s="18"/>
      <c r="C591" s="234"/>
      <c r="D591" s="167"/>
      <c r="E591" s="180"/>
      <c r="F591" s="221"/>
      <c r="G591" s="245"/>
      <c r="H591" s="226"/>
      <c r="I591" s="226"/>
      <c r="J591" s="206"/>
      <c r="K591" s="206"/>
      <c r="L591" s="206"/>
      <c r="M591" s="206"/>
    </row>
    <row r="592" spans="1:13">
      <c r="A592" s="18"/>
      <c r="B592" s="18"/>
      <c r="C592" s="234"/>
      <c r="D592" s="167"/>
      <c r="E592" s="315"/>
      <c r="F592" s="221"/>
      <c r="G592" s="171"/>
      <c r="H592" s="229"/>
      <c r="I592" s="229"/>
      <c r="J592" s="206"/>
      <c r="K592" s="206"/>
      <c r="L592" s="206"/>
      <c r="M592" s="206"/>
    </row>
    <row r="593" spans="1:13">
      <c r="A593" s="18"/>
      <c r="B593" s="18"/>
      <c r="C593" s="206"/>
      <c r="D593" s="221"/>
      <c r="E593" s="316"/>
      <c r="F593" s="265"/>
      <c r="G593" s="246"/>
      <c r="H593" s="247"/>
      <c r="I593" s="247"/>
      <c r="J593" s="206"/>
      <c r="K593" s="234"/>
      <c r="L593" s="248"/>
      <c r="M593" s="248"/>
    </row>
    <row r="594" spans="1:13">
      <c r="A594" s="18"/>
      <c r="B594" s="18"/>
      <c r="C594" s="206"/>
      <c r="D594" s="206"/>
      <c r="E594" s="206"/>
      <c r="F594" s="226"/>
      <c r="G594" s="246"/>
      <c r="H594" s="247"/>
      <c r="I594" s="247"/>
      <c r="J594" s="206"/>
      <c r="K594" s="234"/>
      <c r="L594" s="248"/>
      <c r="M594" s="248"/>
    </row>
    <row r="595" spans="1:13">
      <c r="A595" s="18"/>
      <c r="B595" s="18"/>
      <c r="C595" s="191"/>
      <c r="D595" s="191"/>
      <c r="E595" s="191"/>
      <c r="F595" s="191"/>
      <c r="G595" s="191"/>
      <c r="H595" s="191"/>
      <c r="I595" s="191"/>
      <c r="J595" s="206"/>
      <c r="K595" s="206"/>
      <c r="L595" s="206"/>
      <c r="M595" s="206"/>
    </row>
    <row r="596" spans="1:13">
      <c r="A596" s="18"/>
      <c r="B596" s="18"/>
      <c r="C596" s="206"/>
      <c r="D596" s="206"/>
      <c r="E596" s="206"/>
      <c r="F596" s="221"/>
      <c r="G596" s="167"/>
      <c r="H596" s="167"/>
      <c r="I596" s="167"/>
      <c r="J596" s="206"/>
      <c r="K596" s="206"/>
      <c r="L596" s="207"/>
      <c r="M596" s="236"/>
    </row>
    <row r="597" spans="1:13">
      <c r="A597" s="18"/>
      <c r="B597" s="18"/>
      <c r="C597" s="206"/>
      <c r="D597" s="167"/>
      <c r="E597" s="180"/>
      <c r="F597" s="221"/>
      <c r="G597" s="167"/>
      <c r="H597" s="167"/>
      <c r="I597" s="167"/>
      <c r="J597" s="206"/>
      <c r="K597" s="206"/>
      <c r="L597" s="207"/>
      <c r="M597" s="236"/>
    </row>
    <row r="598" spans="1:13">
      <c r="A598" s="18"/>
      <c r="B598" s="18"/>
      <c r="C598" s="206"/>
      <c r="D598" s="167"/>
      <c r="E598" s="318"/>
      <c r="F598" s="221"/>
      <c r="G598" s="167"/>
      <c r="H598" s="167"/>
      <c r="I598" s="167"/>
      <c r="J598" s="206"/>
      <c r="K598" s="206"/>
      <c r="L598" s="207"/>
      <c r="M598" s="236"/>
    </row>
    <row r="599" spans="1:13">
      <c r="A599" s="18"/>
      <c r="B599" s="18"/>
      <c r="C599" s="206"/>
      <c r="D599" s="167"/>
      <c r="E599" s="315"/>
      <c r="F599" s="221"/>
      <c r="G599" s="167"/>
      <c r="H599" s="167"/>
      <c r="I599" s="167"/>
      <c r="J599" s="206"/>
      <c r="K599" s="206"/>
      <c r="L599" s="207"/>
      <c r="M599" s="236"/>
    </row>
    <row r="600" spans="1:13">
      <c r="A600" s="18"/>
      <c r="B600" s="18"/>
      <c r="C600" s="206"/>
      <c r="D600" s="221"/>
      <c r="E600" s="266"/>
      <c r="F600" s="265"/>
      <c r="G600" s="171"/>
      <c r="H600" s="189"/>
      <c r="I600" s="189"/>
      <c r="J600" s="206"/>
      <c r="K600" s="244"/>
      <c r="L600" s="207"/>
      <c r="M600" s="236"/>
    </row>
    <row r="601" spans="1:13">
      <c r="A601" s="18"/>
      <c r="B601" s="18"/>
      <c r="C601" s="206"/>
      <c r="D601" s="206"/>
      <c r="E601" s="206"/>
      <c r="F601" s="235"/>
      <c r="G601" s="197"/>
      <c r="H601" s="189"/>
      <c r="I601" s="189"/>
      <c r="J601" s="206"/>
      <c r="K601" s="234"/>
      <c r="L601" s="207"/>
      <c r="M601" s="206"/>
    </row>
    <row r="602" spans="1:13">
      <c r="A602" s="18"/>
      <c r="B602" s="18"/>
      <c r="C602" s="191"/>
      <c r="D602" s="191"/>
      <c r="E602" s="191"/>
      <c r="F602" s="191"/>
      <c r="G602" s="191"/>
      <c r="H602" s="191"/>
      <c r="I602" s="191"/>
      <c r="J602" s="206"/>
      <c r="K602" s="244"/>
      <c r="L602" s="249"/>
      <c r="M602" s="206"/>
    </row>
    <row r="603" spans="1:13">
      <c r="A603" s="18"/>
      <c r="B603" s="18"/>
      <c r="C603" s="206"/>
      <c r="D603" s="206"/>
      <c r="E603" s="206"/>
      <c r="F603" s="235"/>
      <c r="G603" s="197"/>
      <c r="H603" s="189"/>
      <c r="I603" s="189"/>
      <c r="J603" s="206"/>
      <c r="K603" s="234"/>
      <c r="L603" s="250"/>
      <c r="M603" s="251"/>
    </row>
    <row r="604" spans="1:13">
      <c r="A604" s="18"/>
      <c r="B604" s="18"/>
      <c r="C604" s="206"/>
      <c r="D604" s="167"/>
      <c r="E604" s="180"/>
      <c r="F604" s="221"/>
      <c r="G604" s="189"/>
      <c r="H604" s="18"/>
      <c r="I604" s="18"/>
      <c r="J604" s="206"/>
      <c r="K604" s="234"/>
      <c r="L604" s="206"/>
      <c r="M604" s="206"/>
    </row>
    <row r="605" spans="1:13">
      <c r="A605" s="18"/>
      <c r="B605" s="18"/>
      <c r="C605" s="234"/>
      <c r="D605" s="167"/>
      <c r="E605" s="318"/>
      <c r="F605" s="221"/>
      <c r="G605" s="189"/>
      <c r="H605" s="18"/>
      <c r="I605" s="18"/>
      <c r="J605" s="206"/>
      <c r="K605" s="234"/>
      <c r="L605" s="206"/>
      <c r="M605" s="191"/>
    </row>
    <row r="606" spans="1:13">
      <c r="A606" s="18"/>
      <c r="B606" s="18"/>
      <c r="C606" s="234"/>
      <c r="D606" s="167"/>
      <c r="E606" s="315"/>
      <c r="F606" s="221"/>
      <c r="G606" s="189"/>
      <c r="H606" s="18"/>
      <c r="I606" s="18"/>
      <c r="J606" s="206"/>
      <c r="K606" s="206"/>
      <c r="L606" s="206"/>
      <c r="M606" s="206"/>
    </row>
    <row r="607" spans="1:13">
      <c r="A607" s="18"/>
      <c r="B607" s="18"/>
      <c r="C607" s="234"/>
      <c r="D607" s="221"/>
      <c r="E607" s="266"/>
      <c r="F607" s="265"/>
      <c r="G607" s="189"/>
      <c r="H607" s="18"/>
      <c r="I607" s="18"/>
      <c r="J607" s="206"/>
      <c r="K607" s="206"/>
      <c r="L607" s="206"/>
      <c r="M607" s="206"/>
    </row>
    <row r="608" spans="1:13">
      <c r="A608" s="18"/>
      <c r="B608" s="18"/>
      <c r="C608" s="234"/>
      <c r="D608" s="176"/>
      <c r="E608" s="252"/>
      <c r="F608" s="167"/>
      <c r="G608" s="189"/>
      <c r="H608" s="18"/>
      <c r="I608" s="18"/>
      <c r="J608" s="206"/>
      <c r="K608" s="206"/>
      <c r="L608" s="206"/>
      <c r="M608" s="206"/>
    </row>
    <row r="609" spans="1:13">
      <c r="A609" s="18"/>
      <c r="B609" s="18"/>
      <c r="C609" s="234"/>
      <c r="D609" s="234"/>
      <c r="E609" s="234"/>
      <c r="F609" s="235"/>
      <c r="G609" s="202"/>
      <c r="H609" s="189"/>
      <c r="I609" s="189"/>
      <c r="J609" s="206"/>
      <c r="K609" s="206"/>
      <c r="L609" s="206"/>
      <c r="M609" s="206"/>
    </row>
    <row r="610" spans="1:13">
      <c r="A610" s="18"/>
      <c r="B610" s="18"/>
      <c r="C610" s="234"/>
      <c r="D610" s="253"/>
      <c r="E610" s="253"/>
      <c r="F610" s="235"/>
      <c r="G610" s="202"/>
      <c r="H610" s="189"/>
      <c r="I610" s="189"/>
      <c r="J610" s="206"/>
      <c r="K610" s="206"/>
      <c r="L610" s="206"/>
      <c r="M610" s="206"/>
    </row>
    <row r="611" spans="1:13">
      <c r="A611" s="18"/>
      <c r="B611" s="18"/>
      <c r="C611" s="234"/>
      <c r="D611" s="18"/>
      <c r="E611" s="271"/>
      <c r="F611" s="265"/>
      <c r="G611" s="202"/>
      <c r="H611" s="189"/>
      <c r="I611" s="189"/>
      <c r="J611" s="206"/>
      <c r="K611" s="206"/>
      <c r="L611" s="206"/>
      <c r="M611" s="206"/>
    </row>
    <row r="612" spans="1:13">
      <c r="A612" s="18"/>
      <c r="B612" s="18"/>
      <c r="C612" s="234"/>
      <c r="D612" s="234"/>
      <c r="E612" s="234"/>
      <c r="F612" s="235"/>
      <c r="G612" s="202"/>
      <c r="H612" s="189"/>
      <c r="I612" s="189"/>
      <c r="J612" s="206"/>
      <c r="K612" s="206"/>
      <c r="L612" s="206"/>
      <c r="M612" s="206"/>
    </row>
    <row r="613" spans="1:13">
      <c r="A613" s="18"/>
      <c r="B613" s="18"/>
      <c r="C613" s="234"/>
      <c r="D613" s="234"/>
      <c r="E613" s="234"/>
      <c r="F613" s="235"/>
      <c r="G613" s="202"/>
      <c r="H613" s="189"/>
      <c r="I613" s="189"/>
      <c r="J613" s="206"/>
      <c r="K613" s="206"/>
      <c r="L613" s="206"/>
      <c r="M613" s="206"/>
    </row>
    <row r="614" spans="1:13">
      <c r="A614" s="18"/>
      <c r="B614" s="18"/>
      <c r="C614" s="234"/>
      <c r="D614" s="254"/>
      <c r="E614" s="255"/>
      <c r="F614" s="256"/>
      <c r="G614" s="179"/>
      <c r="H614" s="246"/>
      <c r="I614" s="246"/>
      <c r="J614" s="206"/>
      <c r="K614" s="206"/>
      <c r="L614" s="206"/>
      <c r="M614" s="206"/>
    </row>
    <row r="615" spans="1:13">
      <c r="A615" s="18"/>
      <c r="B615" s="18"/>
      <c r="C615" s="257"/>
      <c r="D615" s="258"/>
      <c r="E615" s="259"/>
      <c r="F615" s="256"/>
      <c r="G615" s="256"/>
      <c r="H615" s="168"/>
      <c r="I615" s="168"/>
      <c r="J615" s="206"/>
      <c r="K615" s="206"/>
      <c r="L615" s="206"/>
      <c r="M615" s="206"/>
    </row>
    <row r="616" spans="1:13">
      <c r="A616" s="18"/>
      <c r="B616" s="18"/>
      <c r="C616" s="254"/>
      <c r="D616" s="167"/>
      <c r="E616" s="180"/>
      <c r="F616" s="221"/>
      <c r="G616" s="254"/>
      <c r="H616" s="254"/>
      <c r="I616" s="254"/>
      <c r="J616" s="18"/>
      <c r="K616" s="18"/>
      <c r="L616" s="18"/>
      <c r="M616" s="18"/>
    </row>
    <row r="617" spans="1:13">
      <c r="A617" s="18"/>
      <c r="B617" s="18"/>
      <c r="C617" s="257"/>
      <c r="D617" s="167"/>
      <c r="E617" s="318"/>
      <c r="F617" s="221"/>
      <c r="G617" s="257"/>
      <c r="H617" s="260"/>
      <c r="I617" s="260"/>
      <c r="J617" s="257"/>
      <c r="K617" s="257"/>
      <c r="L617" s="257"/>
      <c r="M617" s="257"/>
    </row>
    <row r="618" spans="1:13">
      <c r="A618" s="18"/>
      <c r="B618" s="18"/>
      <c r="C618" s="257"/>
      <c r="D618" s="167"/>
      <c r="E618" s="315"/>
      <c r="F618" s="221"/>
      <c r="G618" s="261"/>
      <c r="H618" s="168"/>
      <c r="I618" s="168"/>
      <c r="J618" s="257"/>
      <c r="K618" s="257"/>
      <c r="L618" s="257"/>
      <c r="M618" s="257"/>
    </row>
    <row r="619" spans="1:13">
      <c r="A619" s="18"/>
      <c r="B619" s="18"/>
      <c r="C619" s="257"/>
      <c r="D619" s="221"/>
      <c r="E619" s="266"/>
      <c r="F619" s="265"/>
      <c r="G619" s="257"/>
      <c r="H619" s="168"/>
      <c r="I619" s="168"/>
      <c r="J619" s="257"/>
      <c r="K619" s="257"/>
      <c r="L619" s="257"/>
      <c r="M619" s="257"/>
    </row>
    <row r="620" spans="1:13">
      <c r="A620" s="18"/>
      <c r="B620" s="18"/>
      <c r="C620" s="233"/>
      <c r="D620" s="233"/>
      <c r="E620" s="252"/>
      <c r="F620" s="167"/>
      <c r="G620" s="233"/>
      <c r="H620" s="233"/>
      <c r="I620" s="233"/>
      <c r="J620" s="257"/>
      <c r="K620" s="257"/>
      <c r="L620" s="257"/>
      <c r="M620" s="257"/>
    </row>
    <row r="621" spans="1:13">
      <c r="A621" s="18"/>
      <c r="B621" s="18"/>
      <c r="C621" s="233"/>
      <c r="D621" s="233"/>
      <c r="E621" s="252"/>
      <c r="F621" s="167"/>
      <c r="G621" s="257"/>
      <c r="H621" s="257"/>
      <c r="I621" s="257"/>
      <c r="J621" s="257"/>
      <c r="K621" s="257"/>
      <c r="L621" s="257"/>
      <c r="M621" s="257"/>
    </row>
    <row r="622" spans="1:13">
      <c r="A622" s="18"/>
      <c r="B622" s="18"/>
      <c r="C622" s="258"/>
      <c r="D622" s="262"/>
      <c r="E622" s="252"/>
      <c r="F622" s="167"/>
      <c r="G622" s="172"/>
      <c r="H622" s="168"/>
      <c r="I622" s="168"/>
      <c r="J622" s="257"/>
      <c r="K622" s="257"/>
      <c r="L622" s="257"/>
      <c r="M622" s="257"/>
    </row>
    <row r="623" spans="1:13">
      <c r="A623" s="18"/>
      <c r="B623" s="18"/>
      <c r="C623" s="258"/>
      <c r="D623" s="167"/>
      <c r="E623" s="180"/>
      <c r="F623" s="221"/>
      <c r="G623" s="172"/>
      <c r="H623" s="168"/>
      <c r="I623" s="168"/>
      <c r="J623" s="257"/>
      <c r="K623" s="257"/>
      <c r="L623" s="257"/>
      <c r="M623" s="257"/>
    </row>
    <row r="624" spans="1:13">
      <c r="A624" s="18"/>
      <c r="B624" s="18"/>
      <c r="C624" s="257"/>
      <c r="D624" s="167"/>
      <c r="E624" s="315"/>
      <c r="F624" s="221"/>
      <c r="G624" s="263"/>
      <c r="H624" s="260"/>
      <c r="I624" s="260"/>
      <c r="J624" s="257"/>
      <c r="K624" s="257"/>
      <c r="L624" s="257"/>
      <c r="M624" s="257"/>
    </row>
    <row r="625" spans="1:13">
      <c r="A625" s="18"/>
      <c r="B625" s="18"/>
      <c r="C625" s="257"/>
      <c r="D625" s="221"/>
      <c r="E625" s="266"/>
      <c r="F625" s="265"/>
      <c r="G625" s="264"/>
      <c r="H625" s="168"/>
      <c r="I625" s="168"/>
      <c r="J625" s="257"/>
      <c r="K625" s="257"/>
      <c r="L625" s="257"/>
      <c r="M625" s="257"/>
    </row>
    <row r="626" spans="1:13">
      <c r="A626" s="18"/>
      <c r="B626" s="18"/>
      <c r="C626" s="257"/>
      <c r="D626" s="264"/>
      <c r="E626" s="252"/>
      <c r="F626" s="167"/>
      <c r="G626" s="184"/>
      <c r="H626" s="168"/>
      <c r="I626" s="168"/>
      <c r="J626" s="257"/>
      <c r="K626" s="257"/>
      <c r="L626" s="257"/>
      <c r="M626" s="257"/>
    </row>
    <row r="627" spans="1:13">
      <c r="A627" s="18"/>
      <c r="B627" s="18"/>
      <c r="C627" s="234"/>
      <c r="D627" s="234"/>
      <c r="E627" s="234"/>
      <c r="F627" s="167"/>
      <c r="G627" s="257"/>
      <c r="H627" s="257"/>
      <c r="I627" s="257"/>
      <c r="J627" s="257"/>
      <c r="K627" s="257"/>
      <c r="L627" s="257"/>
      <c r="M627" s="257"/>
    </row>
    <row r="628" spans="1:13">
      <c r="A628" s="18"/>
      <c r="B628" s="18"/>
      <c r="C628" s="234"/>
      <c r="D628" s="234"/>
      <c r="E628" s="180"/>
      <c r="F628" s="167"/>
      <c r="G628" s="234"/>
      <c r="H628" s="234"/>
      <c r="I628" s="234"/>
      <c r="J628" s="257"/>
      <c r="K628" s="257"/>
      <c r="L628" s="257"/>
      <c r="M628" s="257"/>
    </row>
    <row r="629" spans="1:13">
      <c r="A629" s="18"/>
      <c r="B629" s="18"/>
      <c r="C629" s="234"/>
      <c r="D629" s="167"/>
      <c r="E629" s="180"/>
      <c r="F629" s="221"/>
      <c r="G629" s="234"/>
      <c r="H629" s="234"/>
      <c r="I629" s="234"/>
      <c r="J629" s="257"/>
      <c r="K629" s="257"/>
      <c r="L629" s="257"/>
      <c r="M629" s="257"/>
    </row>
    <row r="630" spans="1:13">
      <c r="A630" s="18"/>
      <c r="B630" s="18"/>
      <c r="C630" s="234"/>
      <c r="D630" s="167"/>
      <c r="E630" s="315"/>
      <c r="F630" s="221"/>
      <c r="G630" s="234"/>
      <c r="H630" s="234"/>
      <c r="I630" s="234"/>
      <c r="J630" s="257"/>
      <c r="K630" s="257"/>
      <c r="L630" s="257"/>
      <c r="M630" s="257"/>
    </row>
    <row r="631" spans="1:13">
      <c r="A631" s="18"/>
      <c r="B631" s="18"/>
      <c r="C631" s="257"/>
      <c r="D631" s="221"/>
      <c r="E631" s="266"/>
      <c r="F631" s="265"/>
      <c r="G631" s="265"/>
      <c r="H631" s="257"/>
      <c r="I631" s="257"/>
      <c r="J631" s="257"/>
      <c r="K631" s="257"/>
      <c r="L631" s="257"/>
      <c r="M631" s="257"/>
    </row>
    <row r="632" spans="1:13">
      <c r="A632" s="18"/>
      <c r="B632" s="18"/>
      <c r="C632" s="257"/>
      <c r="D632" s="221"/>
      <c r="E632" s="266"/>
      <c r="F632" s="265"/>
      <c r="G632" s="265"/>
      <c r="H632" s="257"/>
      <c r="I632" s="257"/>
      <c r="J632" s="257"/>
      <c r="K632" s="257"/>
      <c r="L632" s="257"/>
      <c r="M632" s="257"/>
    </row>
    <row r="633" spans="1:13">
      <c r="A633" s="18"/>
      <c r="B633" s="18"/>
      <c r="C633" s="235"/>
      <c r="D633" s="235"/>
      <c r="E633" s="235"/>
      <c r="F633" s="235"/>
      <c r="G633" s="235"/>
      <c r="H633" s="257"/>
      <c r="I633" s="257"/>
      <c r="J633" s="257"/>
      <c r="K633" s="257"/>
      <c r="L633" s="257"/>
      <c r="M633" s="257"/>
    </row>
    <row r="634" spans="1:13">
      <c r="A634" s="18"/>
      <c r="B634" s="18"/>
      <c r="C634" s="221"/>
      <c r="D634" s="221"/>
      <c r="E634" s="221"/>
      <c r="F634" s="221"/>
      <c r="G634" s="221"/>
      <c r="H634" s="257"/>
      <c r="I634" s="257"/>
      <c r="J634" s="257"/>
      <c r="K634" s="257"/>
      <c r="L634" s="257"/>
      <c r="M634" s="257"/>
    </row>
    <row r="635" spans="1:13">
      <c r="A635" s="18"/>
      <c r="B635" s="18"/>
      <c r="C635" s="221"/>
      <c r="D635" s="167"/>
      <c r="E635" s="180"/>
      <c r="F635" s="221"/>
      <c r="G635" s="221"/>
      <c r="H635" s="257"/>
      <c r="I635" s="257"/>
      <c r="J635" s="257"/>
      <c r="K635" s="257"/>
      <c r="L635" s="257"/>
      <c r="M635" s="257"/>
    </row>
    <row r="636" spans="1:13">
      <c r="A636" s="18"/>
      <c r="B636" s="18"/>
      <c r="C636" s="221"/>
      <c r="D636" s="167"/>
      <c r="E636" s="315"/>
      <c r="F636" s="221"/>
      <c r="G636" s="221"/>
      <c r="H636" s="257"/>
      <c r="I636" s="257"/>
      <c r="J636" s="257"/>
      <c r="K636" s="257"/>
      <c r="L636" s="257"/>
      <c r="M636" s="257"/>
    </row>
    <row r="637" spans="1:13">
      <c r="A637" s="18"/>
      <c r="B637" s="18"/>
      <c r="C637" s="221"/>
      <c r="D637" s="221"/>
      <c r="E637" s="266"/>
      <c r="F637" s="265"/>
      <c r="G637" s="221"/>
      <c r="H637" s="257"/>
      <c r="I637" s="257"/>
      <c r="J637" s="257"/>
      <c r="K637" s="257"/>
      <c r="L637" s="257"/>
      <c r="M637" s="257"/>
    </row>
    <row r="638" spans="1:13">
      <c r="A638" s="18"/>
      <c r="B638" s="18"/>
      <c r="C638" s="221"/>
      <c r="D638" s="221"/>
      <c r="E638" s="221"/>
      <c r="F638" s="221"/>
      <c r="G638" s="221"/>
      <c r="H638" s="257"/>
      <c r="I638" s="257"/>
      <c r="J638" s="257"/>
      <c r="K638" s="257"/>
      <c r="L638" s="257"/>
      <c r="M638" s="257"/>
    </row>
    <row r="639" spans="1:13">
      <c r="A639" s="18"/>
      <c r="B639" s="18"/>
      <c r="C639" s="235"/>
      <c r="D639" s="235"/>
      <c r="E639" s="235"/>
      <c r="F639" s="235"/>
      <c r="G639" s="235"/>
      <c r="H639" s="257"/>
      <c r="I639" s="257"/>
      <c r="J639" s="257"/>
      <c r="K639" s="257"/>
      <c r="L639" s="257"/>
      <c r="M639" s="257"/>
    </row>
    <row r="640" spans="1:13">
      <c r="A640" s="18"/>
      <c r="B640" s="18"/>
      <c r="C640" s="221"/>
      <c r="D640" s="221"/>
      <c r="E640" s="221"/>
      <c r="F640" s="221"/>
      <c r="G640" s="221"/>
      <c r="H640" s="257"/>
      <c r="I640" s="257"/>
      <c r="J640" s="257"/>
      <c r="K640" s="257"/>
      <c r="L640" s="257"/>
      <c r="M640" s="257"/>
    </row>
    <row r="641" spans="1:13">
      <c r="A641" s="18"/>
      <c r="B641" s="18"/>
      <c r="C641" s="221"/>
      <c r="D641" s="167"/>
      <c r="E641" s="180"/>
      <c r="F641" s="221"/>
      <c r="G641" s="221"/>
      <c r="H641" s="257"/>
      <c r="I641" s="257"/>
      <c r="J641" s="257"/>
      <c r="K641" s="257"/>
      <c r="L641" s="257"/>
      <c r="M641" s="257"/>
    </row>
    <row r="642" spans="1:13">
      <c r="A642" s="18"/>
      <c r="B642" s="18"/>
      <c r="C642" s="221"/>
      <c r="D642" s="167"/>
      <c r="E642" s="315"/>
      <c r="F642" s="221"/>
      <c r="G642" s="221"/>
      <c r="H642" s="257"/>
      <c r="I642" s="257"/>
      <c r="J642" s="257"/>
      <c r="K642" s="257"/>
      <c r="L642" s="257"/>
      <c r="M642" s="257"/>
    </row>
    <row r="643" spans="1:13">
      <c r="A643" s="18"/>
      <c r="B643" s="18"/>
      <c r="C643" s="221"/>
      <c r="D643" s="221"/>
      <c r="E643" s="266"/>
      <c r="F643" s="265"/>
      <c r="G643" s="221"/>
      <c r="H643" s="257"/>
      <c r="I643" s="257"/>
      <c r="J643" s="257"/>
      <c r="K643" s="257"/>
      <c r="L643" s="257"/>
      <c r="M643" s="257"/>
    </row>
    <row r="644" spans="1:13">
      <c r="A644" s="18"/>
      <c r="B644" s="18"/>
      <c r="C644" s="221"/>
      <c r="D644" s="221"/>
      <c r="E644" s="221"/>
      <c r="F644" s="221"/>
      <c r="G644" s="221"/>
      <c r="H644" s="257"/>
      <c r="I644" s="257"/>
      <c r="J644" s="257"/>
      <c r="K644" s="257"/>
      <c r="L644" s="257"/>
      <c r="M644" s="257"/>
    </row>
    <row r="645" spans="1:13">
      <c r="A645" s="18"/>
      <c r="B645" s="18"/>
      <c r="C645" s="235"/>
      <c r="D645" s="235"/>
      <c r="E645" s="235"/>
      <c r="F645" s="221"/>
      <c r="G645" s="221"/>
      <c r="H645" s="257"/>
      <c r="I645" s="257"/>
      <c r="J645" s="257"/>
      <c r="K645" s="257"/>
      <c r="L645" s="257"/>
      <c r="M645" s="257"/>
    </row>
    <row r="646" spans="1:13">
      <c r="A646" s="18"/>
      <c r="B646" s="18"/>
      <c r="C646" s="221"/>
      <c r="D646" s="221"/>
      <c r="E646" s="221"/>
      <c r="F646" s="221"/>
      <c r="G646" s="221"/>
      <c r="H646" s="257"/>
      <c r="I646" s="257"/>
      <c r="J646" s="257"/>
      <c r="K646" s="257"/>
      <c r="L646" s="257"/>
      <c r="M646" s="257"/>
    </row>
    <row r="647" spans="1:13">
      <c r="A647" s="18"/>
      <c r="B647" s="18"/>
      <c r="C647" s="221"/>
      <c r="D647" s="167"/>
      <c r="E647" s="180"/>
      <c r="F647" s="221"/>
      <c r="G647" s="221"/>
      <c r="H647" s="257"/>
      <c r="I647" s="257"/>
      <c r="J647" s="257"/>
      <c r="K647" s="257"/>
      <c r="L647" s="257"/>
      <c r="M647" s="257"/>
    </row>
    <row r="648" spans="1:13">
      <c r="A648" s="18"/>
      <c r="B648" s="18"/>
      <c r="C648" s="221"/>
      <c r="D648" s="167"/>
      <c r="E648" s="315"/>
      <c r="F648" s="221"/>
      <c r="G648" s="221"/>
      <c r="H648" s="257"/>
      <c r="I648" s="257"/>
      <c r="J648" s="257"/>
      <c r="K648" s="257"/>
      <c r="L648" s="257"/>
      <c r="M648" s="257"/>
    </row>
    <row r="649" spans="1:13">
      <c r="A649" s="18"/>
      <c r="B649" s="18"/>
      <c r="C649" s="221"/>
      <c r="D649" s="221"/>
      <c r="E649" s="266"/>
      <c r="F649" s="265"/>
      <c r="G649" s="221"/>
      <c r="H649" s="257"/>
      <c r="I649" s="257"/>
      <c r="J649" s="257"/>
      <c r="K649" s="257"/>
      <c r="L649" s="257"/>
      <c r="M649" s="257"/>
    </row>
    <row r="650" spans="1:13">
      <c r="A650" s="18"/>
      <c r="B650" s="18"/>
      <c r="C650" s="221"/>
      <c r="D650" s="221"/>
      <c r="E650" s="221"/>
      <c r="F650" s="221"/>
      <c r="G650" s="221"/>
      <c r="H650" s="257"/>
      <c r="I650" s="257"/>
      <c r="J650" s="257"/>
      <c r="K650" s="257"/>
      <c r="L650" s="257"/>
      <c r="M650" s="257"/>
    </row>
    <row r="651" spans="1:13">
      <c r="A651" s="18"/>
      <c r="B651" s="18"/>
      <c r="C651" s="235"/>
      <c r="D651" s="235"/>
      <c r="E651" s="235"/>
      <c r="F651" s="235"/>
      <c r="G651" s="221"/>
      <c r="H651" s="257"/>
      <c r="I651" s="257"/>
      <c r="J651" s="257"/>
      <c r="K651" s="257"/>
      <c r="L651" s="257"/>
      <c r="M651" s="257"/>
    </row>
    <row r="652" spans="1:13">
      <c r="A652" s="18"/>
      <c r="B652" s="18"/>
      <c r="C652" s="221"/>
      <c r="D652" s="221"/>
      <c r="E652" s="221"/>
      <c r="F652" s="221"/>
      <c r="G652" s="221"/>
      <c r="H652" s="257"/>
      <c r="I652" s="257"/>
      <c r="J652" s="257"/>
      <c r="K652" s="257"/>
      <c r="L652" s="257"/>
      <c r="M652" s="257"/>
    </row>
    <row r="653" spans="1:13">
      <c r="A653" s="18"/>
      <c r="B653" s="18"/>
      <c r="C653" s="221"/>
      <c r="D653" s="167"/>
      <c r="E653" s="180"/>
      <c r="F653" s="221"/>
      <c r="G653" s="221"/>
      <c r="H653" s="257"/>
      <c r="I653" s="257"/>
      <c r="J653" s="257"/>
      <c r="K653" s="257"/>
      <c r="L653" s="257"/>
      <c r="M653" s="257"/>
    </row>
    <row r="654" spans="1:13">
      <c r="A654" s="18"/>
      <c r="B654" s="18"/>
      <c r="C654" s="221"/>
      <c r="D654" s="167"/>
      <c r="E654" s="315"/>
      <c r="F654" s="221"/>
      <c r="G654" s="221"/>
      <c r="H654" s="257"/>
      <c r="I654" s="257"/>
      <c r="J654" s="257"/>
      <c r="K654" s="257"/>
      <c r="L654" s="257"/>
      <c r="M654" s="257"/>
    </row>
    <row r="655" spans="1:13">
      <c r="A655" s="18"/>
      <c r="B655" s="18"/>
      <c r="C655" s="257"/>
      <c r="D655" s="221"/>
      <c r="E655" s="266"/>
      <c r="F655" s="265"/>
      <c r="G655" s="265"/>
      <c r="H655" s="257"/>
      <c r="I655" s="257"/>
      <c r="J655" s="257"/>
      <c r="K655" s="257"/>
      <c r="L655" s="257"/>
      <c r="M655" s="257"/>
    </row>
    <row r="656" spans="1:13">
      <c r="A656" s="18"/>
      <c r="B656" s="18"/>
      <c r="C656" s="257"/>
      <c r="D656" s="221"/>
      <c r="E656" s="266"/>
      <c r="F656" s="265"/>
      <c r="G656" s="265"/>
      <c r="H656" s="257"/>
      <c r="I656" s="257"/>
      <c r="J656" s="257"/>
      <c r="K656" s="257"/>
      <c r="L656" s="257"/>
      <c r="M656" s="257"/>
    </row>
    <row r="657" spans="1:13">
      <c r="A657" s="18"/>
      <c r="B657" s="18"/>
      <c r="C657" s="235"/>
      <c r="D657" s="235"/>
      <c r="E657" s="235"/>
      <c r="F657" s="265"/>
      <c r="G657" s="265"/>
      <c r="H657" s="257"/>
      <c r="I657" s="257"/>
      <c r="J657" s="257"/>
      <c r="K657" s="257"/>
      <c r="L657" s="257"/>
      <c r="M657" s="257"/>
    </row>
    <row r="658" spans="1:13">
      <c r="A658" s="18"/>
      <c r="B658" s="18"/>
      <c r="C658" s="257"/>
      <c r="D658" s="221"/>
      <c r="E658" s="266"/>
      <c r="F658" s="265"/>
      <c r="G658" s="265"/>
      <c r="H658" s="257"/>
      <c r="I658" s="257"/>
      <c r="J658" s="257"/>
      <c r="K658" s="257"/>
      <c r="L658" s="257"/>
      <c r="M658" s="257"/>
    </row>
    <row r="659" spans="1:13">
      <c r="A659" s="18"/>
      <c r="B659" s="18"/>
      <c r="C659" s="257"/>
      <c r="D659" s="167"/>
      <c r="E659" s="180"/>
      <c r="F659" s="221"/>
      <c r="G659" s="265"/>
      <c r="H659" s="257"/>
      <c r="I659" s="257"/>
      <c r="J659" s="257"/>
      <c r="K659" s="257"/>
      <c r="L659" s="257"/>
      <c r="M659" s="257"/>
    </row>
    <row r="660" spans="1:13">
      <c r="A660" s="18"/>
      <c r="B660" s="18"/>
      <c r="C660" s="257"/>
      <c r="D660" s="167"/>
      <c r="E660" s="318"/>
      <c r="F660" s="221"/>
      <c r="G660" s="265"/>
      <c r="H660" s="257"/>
      <c r="I660" s="257"/>
      <c r="J660" s="257"/>
      <c r="K660" s="257"/>
      <c r="L660" s="257"/>
      <c r="M660" s="257"/>
    </row>
    <row r="661" spans="1:13">
      <c r="A661" s="18"/>
      <c r="B661" s="18"/>
      <c r="C661" s="257"/>
      <c r="D661" s="167"/>
      <c r="E661" s="315"/>
      <c r="F661" s="221"/>
      <c r="G661" s="265"/>
      <c r="H661" s="257"/>
      <c r="I661" s="257"/>
      <c r="J661" s="257"/>
      <c r="K661" s="257"/>
      <c r="L661" s="257"/>
      <c r="M661" s="257"/>
    </row>
    <row r="662" spans="1:13">
      <c r="A662" s="18"/>
      <c r="B662" s="18"/>
      <c r="C662" s="257"/>
      <c r="D662" s="221"/>
      <c r="E662" s="266"/>
      <c r="F662" s="265"/>
      <c r="G662" s="265"/>
      <c r="H662" s="257"/>
      <c r="I662" s="257"/>
      <c r="J662" s="257"/>
      <c r="K662" s="257"/>
      <c r="L662" s="257"/>
      <c r="M662" s="257"/>
    </row>
    <row r="663" spans="1:13">
      <c r="A663" s="18"/>
      <c r="B663" s="18"/>
      <c r="C663" s="257"/>
      <c r="D663" s="221"/>
      <c r="E663" s="266"/>
      <c r="F663" s="265"/>
      <c r="G663" s="265"/>
      <c r="H663" s="257"/>
      <c r="I663" s="257"/>
      <c r="J663" s="257"/>
      <c r="K663" s="257"/>
      <c r="L663" s="257"/>
      <c r="M663" s="257"/>
    </row>
    <row r="664" spans="1:13">
      <c r="A664" s="18"/>
      <c r="B664" s="18"/>
      <c r="C664" s="235"/>
      <c r="D664" s="235"/>
      <c r="E664" s="235"/>
      <c r="F664" s="235"/>
      <c r="G664" s="235"/>
      <c r="H664" s="257"/>
      <c r="I664" s="257"/>
      <c r="J664" s="257"/>
      <c r="K664" s="257"/>
      <c r="L664" s="257"/>
      <c r="M664" s="257"/>
    </row>
    <row r="665" spans="1:13">
      <c r="A665" s="18"/>
      <c r="B665" s="18"/>
      <c r="C665" s="257"/>
      <c r="D665" s="221"/>
      <c r="E665" s="266"/>
      <c r="F665" s="265"/>
      <c r="G665" s="265"/>
      <c r="H665" s="257"/>
      <c r="I665" s="257"/>
      <c r="J665" s="257"/>
      <c r="K665" s="257"/>
      <c r="L665" s="257"/>
      <c r="M665" s="257"/>
    </row>
    <row r="666" spans="1:13">
      <c r="A666" s="18"/>
      <c r="B666" s="18"/>
      <c r="C666" s="257"/>
      <c r="D666" s="167"/>
      <c r="E666" s="180"/>
      <c r="F666" s="221"/>
      <c r="G666" s="265"/>
      <c r="H666" s="257"/>
      <c r="I666" s="257"/>
      <c r="J666" s="257"/>
      <c r="K666" s="257"/>
      <c r="L666" s="257"/>
      <c r="M666" s="257"/>
    </row>
    <row r="667" spans="1:13">
      <c r="A667" s="18"/>
      <c r="B667" s="18"/>
      <c r="C667" s="257"/>
      <c r="D667" s="167"/>
      <c r="E667" s="318"/>
      <c r="F667" s="221"/>
      <c r="G667" s="265"/>
      <c r="H667" s="257"/>
      <c r="I667" s="257"/>
      <c r="J667" s="257"/>
      <c r="K667" s="257"/>
      <c r="L667" s="257"/>
      <c r="M667" s="257"/>
    </row>
    <row r="668" spans="1:13">
      <c r="A668" s="18"/>
      <c r="B668" s="18"/>
      <c r="C668" s="257"/>
      <c r="D668" s="167"/>
      <c r="E668" s="315"/>
      <c r="F668" s="221"/>
      <c r="G668" s="265"/>
      <c r="H668" s="257"/>
      <c r="I668" s="257"/>
      <c r="J668" s="257"/>
      <c r="K668" s="257"/>
      <c r="L668" s="257"/>
      <c r="M668" s="257"/>
    </row>
    <row r="669" spans="1:13">
      <c r="A669" s="18"/>
      <c r="B669" s="18"/>
      <c r="C669" s="257"/>
      <c r="D669" s="221"/>
      <c r="E669" s="266"/>
      <c r="F669" s="265"/>
      <c r="G669" s="265"/>
      <c r="H669" s="257"/>
      <c r="I669" s="257"/>
      <c r="J669" s="257"/>
      <c r="K669" s="257"/>
      <c r="L669" s="257"/>
      <c r="M669" s="257"/>
    </row>
    <row r="670" spans="1:13">
      <c r="A670" s="18"/>
      <c r="B670" s="18"/>
      <c r="C670" s="257"/>
      <c r="D670" s="221"/>
      <c r="E670" s="266"/>
      <c r="F670" s="265"/>
      <c r="G670" s="265"/>
      <c r="H670" s="257"/>
      <c r="I670" s="257"/>
      <c r="J670" s="257"/>
      <c r="K670" s="257"/>
      <c r="L670" s="257"/>
      <c r="M670" s="257"/>
    </row>
    <row r="671" spans="1:13">
      <c r="A671" s="18"/>
      <c r="B671" s="18"/>
      <c r="C671" s="257"/>
      <c r="D671" s="221"/>
      <c r="E671" s="266"/>
      <c r="F671" s="265"/>
      <c r="G671" s="265"/>
      <c r="H671" s="257"/>
      <c r="I671" s="257"/>
      <c r="J671" s="257"/>
      <c r="K671" s="257"/>
      <c r="L671" s="257"/>
      <c r="M671" s="257"/>
    </row>
    <row r="672" spans="1:13">
      <c r="A672" s="18"/>
      <c r="B672" s="18"/>
      <c r="C672" s="257"/>
      <c r="D672" s="221"/>
      <c r="E672" s="266"/>
      <c r="F672" s="265"/>
      <c r="G672" s="265"/>
      <c r="H672" s="257"/>
      <c r="I672" s="257"/>
      <c r="J672" s="257"/>
      <c r="K672" s="257"/>
      <c r="L672" s="257"/>
      <c r="M672" s="257"/>
    </row>
    <row r="673" spans="1:13">
      <c r="A673" s="18"/>
      <c r="B673" s="18"/>
      <c r="C673" s="257"/>
      <c r="D673" s="167"/>
      <c r="E673" s="180"/>
      <c r="F673" s="221"/>
      <c r="G673" s="265"/>
      <c r="H673" s="257"/>
      <c r="I673" s="257"/>
      <c r="J673" s="257"/>
      <c r="K673" s="257"/>
      <c r="L673" s="257"/>
      <c r="M673" s="257"/>
    </row>
    <row r="674" spans="1:13">
      <c r="A674" s="18"/>
      <c r="B674" s="18"/>
      <c r="C674" s="257"/>
      <c r="D674" s="167"/>
      <c r="E674" s="315"/>
      <c r="F674" s="221"/>
      <c r="G674" s="265"/>
      <c r="H674" s="257"/>
      <c r="I674" s="257"/>
      <c r="J674" s="257"/>
      <c r="K674" s="257"/>
      <c r="L674" s="257"/>
      <c r="M674" s="257"/>
    </row>
    <row r="675" spans="1:13">
      <c r="A675" s="18"/>
      <c r="B675" s="18"/>
      <c r="C675" s="257"/>
      <c r="D675" s="221"/>
      <c r="E675" s="266"/>
      <c r="F675" s="265"/>
      <c r="G675" s="265"/>
      <c r="H675" s="257"/>
      <c r="I675" s="257"/>
      <c r="J675" s="257"/>
      <c r="K675" s="257"/>
      <c r="L675" s="257"/>
      <c r="M675" s="257"/>
    </row>
    <row r="676" spans="1:13">
      <c r="A676" s="18"/>
      <c r="B676" s="18"/>
      <c r="C676" s="257"/>
      <c r="D676" s="221"/>
      <c r="E676" s="266"/>
      <c r="F676" s="265"/>
      <c r="G676" s="265"/>
      <c r="H676" s="257"/>
      <c r="I676" s="257"/>
      <c r="J676" s="257"/>
      <c r="K676" s="257"/>
      <c r="L676" s="257"/>
      <c r="M676" s="257"/>
    </row>
    <row r="677" spans="1:13">
      <c r="A677" s="18"/>
      <c r="B677" s="18"/>
      <c r="C677" s="257"/>
      <c r="D677" s="221"/>
      <c r="E677" s="266"/>
      <c r="F677" s="265"/>
      <c r="G677" s="265"/>
      <c r="H677" s="257"/>
      <c r="I677" s="257"/>
      <c r="J677" s="257"/>
      <c r="K677" s="257"/>
      <c r="L677" s="257"/>
      <c r="M677" s="257"/>
    </row>
    <row r="678" spans="1:13">
      <c r="A678" s="18"/>
      <c r="B678" s="18"/>
      <c r="C678" s="257"/>
      <c r="D678" s="221"/>
      <c r="E678" s="266"/>
      <c r="F678" s="265"/>
      <c r="G678" s="265"/>
      <c r="H678" s="257"/>
      <c r="I678" s="257"/>
      <c r="J678" s="257"/>
      <c r="K678" s="257"/>
      <c r="L678" s="257"/>
      <c r="M678" s="257"/>
    </row>
    <row r="679" spans="1:13">
      <c r="A679" s="18"/>
      <c r="B679" s="18"/>
      <c r="C679" s="257"/>
      <c r="D679" s="167"/>
      <c r="E679" s="180"/>
      <c r="F679" s="221"/>
      <c r="G679" s="265"/>
      <c r="H679" s="257"/>
      <c r="I679" s="257"/>
      <c r="J679" s="257"/>
      <c r="K679" s="257"/>
      <c r="L679" s="257"/>
      <c r="M679" s="257"/>
    </row>
    <row r="680" spans="1:13">
      <c r="A680" s="18"/>
      <c r="B680" s="18"/>
      <c r="C680" s="257"/>
      <c r="D680" s="167"/>
      <c r="E680" s="315"/>
      <c r="F680" s="221"/>
      <c r="G680" s="265"/>
      <c r="H680" s="257"/>
      <c r="I680" s="257"/>
      <c r="J680" s="257"/>
      <c r="K680" s="257"/>
      <c r="L680" s="257"/>
      <c r="M680" s="257"/>
    </row>
    <row r="681" spans="1:13">
      <c r="A681" s="18"/>
      <c r="B681" s="18"/>
      <c r="C681" s="257"/>
      <c r="D681" s="221"/>
      <c r="E681" s="266"/>
      <c r="F681" s="265"/>
      <c r="G681" s="265"/>
      <c r="H681" s="257"/>
      <c r="I681" s="257"/>
      <c r="J681" s="257"/>
      <c r="K681" s="257"/>
      <c r="L681" s="257"/>
      <c r="M681" s="257"/>
    </row>
    <row r="682" spans="1:13">
      <c r="A682" s="18"/>
      <c r="B682" s="18"/>
      <c r="C682" s="257"/>
      <c r="D682" s="221"/>
      <c r="E682" s="266"/>
      <c r="F682" s="265"/>
      <c r="G682" s="265"/>
      <c r="H682" s="257"/>
      <c r="I682" s="257"/>
      <c r="J682" s="257"/>
      <c r="K682" s="257"/>
      <c r="L682" s="257"/>
      <c r="M682" s="257"/>
    </row>
    <row r="683" spans="1:13">
      <c r="A683" s="18"/>
      <c r="B683" s="18"/>
      <c r="C683" s="257"/>
      <c r="D683" s="221"/>
      <c r="E683" s="266"/>
      <c r="F683" s="265"/>
      <c r="G683" s="265"/>
      <c r="H683" s="257"/>
      <c r="I683" s="257"/>
      <c r="J683" s="257"/>
      <c r="K683" s="257"/>
      <c r="L683" s="257"/>
      <c r="M683" s="257"/>
    </row>
    <row r="684" spans="1:13">
      <c r="A684" s="18"/>
      <c r="B684" s="18"/>
      <c r="C684" s="257"/>
      <c r="D684" s="221"/>
      <c r="E684" s="266"/>
      <c r="F684" s="265"/>
      <c r="G684" s="265"/>
      <c r="H684" s="257"/>
      <c r="I684" s="257"/>
      <c r="J684" s="257"/>
      <c r="K684" s="257"/>
      <c r="L684" s="257"/>
      <c r="M684" s="257"/>
    </row>
    <row r="685" spans="1:13">
      <c r="A685" s="18"/>
      <c r="B685" s="18"/>
      <c r="C685" s="257"/>
      <c r="D685" s="167"/>
      <c r="E685" s="180"/>
      <c r="F685" s="221"/>
      <c r="G685" s="265"/>
      <c r="H685" s="257"/>
      <c r="I685" s="257"/>
      <c r="J685" s="257"/>
      <c r="K685" s="257"/>
      <c r="L685" s="257"/>
      <c r="M685" s="257"/>
    </row>
    <row r="686" spans="1:13">
      <c r="A686" s="18"/>
      <c r="B686" s="18"/>
      <c r="C686" s="257"/>
      <c r="D686" s="167"/>
      <c r="E686" s="315"/>
      <c r="F686" s="221"/>
      <c r="G686" s="265"/>
      <c r="H686" s="257"/>
      <c r="I686" s="257"/>
      <c r="J686" s="257"/>
      <c r="K686" s="257"/>
      <c r="L686" s="257"/>
      <c r="M686" s="257"/>
    </row>
    <row r="687" spans="1:13">
      <c r="A687" s="18"/>
      <c r="B687" s="18"/>
      <c r="C687" s="257"/>
      <c r="D687" s="221"/>
      <c r="E687" s="266"/>
      <c r="F687" s="265"/>
      <c r="G687" s="264"/>
      <c r="H687" s="242"/>
      <c r="I687" s="242"/>
      <c r="J687" s="257"/>
      <c r="K687" s="257"/>
      <c r="L687" s="257"/>
      <c r="M687" s="257"/>
    </row>
    <row r="688" spans="1:13">
      <c r="A688" s="18"/>
      <c r="B688" s="18"/>
      <c r="C688" s="257"/>
      <c r="D688" s="221"/>
      <c r="E688" s="266"/>
      <c r="F688" s="265"/>
      <c r="G688" s="264"/>
      <c r="H688" s="242"/>
      <c r="I688" s="242"/>
      <c r="J688" s="257"/>
      <c r="K688" s="257"/>
      <c r="L688" s="257"/>
      <c r="M688" s="257"/>
    </row>
    <row r="689" spans="1:13">
      <c r="A689" s="18"/>
      <c r="B689" s="18"/>
      <c r="C689" s="234"/>
      <c r="D689" s="234"/>
      <c r="E689" s="234"/>
      <c r="F689" s="234"/>
      <c r="G689" s="234"/>
      <c r="H689" s="234"/>
      <c r="I689" s="234"/>
      <c r="J689" s="257"/>
      <c r="K689" s="257"/>
      <c r="L689" s="257"/>
      <c r="M689" s="257"/>
    </row>
    <row r="690" spans="1:13">
      <c r="A690" s="18"/>
      <c r="B690" s="18"/>
      <c r="C690" s="257"/>
      <c r="D690" s="257"/>
      <c r="E690" s="257"/>
      <c r="F690" s="264"/>
      <c r="G690" s="267"/>
      <c r="H690" s="268"/>
      <c r="I690" s="268"/>
      <c r="J690" s="257"/>
      <c r="K690" s="257"/>
      <c r="L690" s="257"/>
      <c r="M690" s="257"/>
    </row>
    <row r="691" spans="1:13">
      <c r="A691" s="18"/>
      <c r="B691" s="18"/>
      <c r="C691" s="257"/>
      <c r="D691" s="257"/>
      <c r="E691" s="167"/>
      <c r="F691" s="167"/>
      <c r="G691" s="264"/>
      <c r="H691" s="264"/>
      <c r="I691" s="264"/>
      <c r="J691" s="257"/>
      <c r="K691" s="257"/>
      <c r="L691" s="257"/>
      <c r="M691" s="257"/>
    </row>
    <row r="692" spans="1:13">
      <c r="A692" s="18"/>
      <c r="B692" s="18"/>
      <c r="C692" s="257"/>
      <c r="D692" s="257"/>
      <c r="E692" s="252"/>
      <c r="F692" s="178"/>
      <c r="G692" s="264"/>
      <c r="H692" s="166"/>
      <c r="I692" s="166"/>
      <c r="J692" s="257"/>
      <c r="K692" s="257"/>
      <c r="L692" s="257"/>
      <c r="M692" s="257"/>
    </row>
    <row r="693" spans="1:13">
      <c r="A693" s="18"/>
      <c r="B693" s="18"/>
      <c r="C693" s="257"/>
      <c r="D693" s="257"/>
      <c r="E693" s="252"/>
      <c r="F693" s="178"/>
      <c r="G693" s="257"/>
      <c r="H693" s="257"/>
      <c r="I693" s="257"/>
      <c r="J693" s="257"/>
      <c r="K693" s="257"/>
      <c r="L693" s="257"/>
      <c r="M693" s="257"/>
    </row>
    <row r="694" spans="1:13">
      <c r="A694" s="18"/>
      <c r="B694" s="18"/>
      <c r="C694" s="234"/>
      <c r="D694" s="234"/>
      <c r="E694" s="252"/>
      <c r="F694" s="271"/>
      <c r="G694" s="265"/>
      <c r="H694" s="234"/>
      <c r="I694" s="234"/>
      <c r="J694" s="257"/>
      <c r="K694" s="257"/>
      <c r="L694" s="257"/>
      <c r="M694" s="257"/>
    </row>
    <row r="695" spans="1:13">
      <c r="A695" s="18"/>
      <c r="B695" s="18"/>
      <c r="C695" s="257"/>
      <c r="D695" s="257"/>
      <c r="E695" s="257"/>
      <c r="F695" s="257"/>
      <c r="G695" s="257"/>
      <c r="H695" s="257"/>
      <c r="I695" s="257"/>
      <c r="J695" s="257"/>
      <c r="K695" s="257"/>
      <c r="L695" s="257"/>
      <c r="M695" s="257"/>
    </row>
    <row r="696" spans="1:13">
      <c r="A696" s="18"/>
      <c r="B696" s="18"/>
      <c r="C696" s="257"/>
      <c r="D696" s="257"/>
      <c r="E696" s="257"/>
      <c r="F696" s="264"/>
      <c r="G696" s="264"/>
      <c r="H696" s="242"/>
      <c r="I696" s="242"/>
      <c r="J696" s="257"/>
      <c r="K696" s="257"/>
      <c r="L696" s="257"/>
      <c r="M696" s="257"/>
    </row>
    <row r="697" spans="1:13">
      <c r="A697" s="18"/>
      <c r="B697" s="18"/>
      <c r="C697" s="257"/>
      <c r="D697" s="257"/>
      <c r="E697" s="257"/>
      <c r="F697" s="264"/>
      <c r="G697" s="264"/>
      <c r="H697" s="170"/>
      <c r="I697" s="170"/>
      <c r="J697" s="257"/>
      <c r="K697" s="180"/>
      <c r="L697" s="180"/>
      <c r="M697" s="180"/>
    </row>
    <row r="698" spans="1:13">
      <c r="A698" s="18"/>
      <c r="B698" s="18"/>
      <c r="C698" s="269"/>
      <c r="D698" s="269"/>
      <c r="E698" s="167"/>
      <c r="F698" s="167"/>
      <c r="G698" s="264"/>
      <c r="H698" s="170"/>
      <c r="I698" s="170"/>
      <c r="J698" s="257"/>
      <c r="K698" s="189"/>
      <c r="L698" s="189"/>
      <c r="M698" s="189"/>
    </row>
    <row r="699" spans="1:13">
      <c r="A699" s="18"/>
      <c r="B699" s="18"/>
      <c r="C699" s="269"/>
      <c r="D699" s="269"/>
      <c r="E699" s="252"/>
      <c r="F699" s="178"/>
      <c r="G699" s="264"/>
      <c r="H699" s="170"/>
      <c r="I699" s="170"/>
      <c r="J699" s="257"/>
      <c r="K699" s="264"/>
      <c r="L699" s="264"/>
      <c r="M699" s="267"/>
    </row>
    <row r="700" spans="1:13">
      <c r="A700" s="18"/>
      <c r="B700" s="18"/>
      <c r="C700" s="269"/>
      <c r="D700" s="269"/>
      <c r="E700" s="252"/>
      <c r="F700" s="178"/>
      <c r="G700" s="257"/>
      <c r="H700" s="170"/>
      <c r="I700" s="170"/>
      <c r="J700" s="257"/>
      <c r="K700" s="264"/>
      <c r="L700" s="264"/>
      <c r="M700" s="264"/>
    </row>
    <row r="701" spans="1:13">
      <c r="A701" s="18"/>
      <c r="B701" s="18"/>
      <c r="C701" s="257"/>
      <c r="D701" s="257"/>
      <c r="E701" s="252"/>
      <c r="F701" s="271"/>
      <c r="G701" s="265"/>
      <c r="H701" s="268"/>
      <c r="I701" s="268"/>
      <c r="J701" s="257"/>
      <c r="K701" s="257"/>
      <c r="L701" s="257"/>
      <c r="M701" s="257"/>
    </row>
    <row r="702" spans="1:13">
      <c r="A702" s="18"/>
      <c r="B702" s="18"/>
      <c r="C702" s="257"/>
      <c r="D702" s="257"/>
      <c r="E702" s="257"/>
      <c r="F702" s="264"/>
      <c r="G702" s="264"/>
      <c r="H702" s="264"/>
      <c r="I702" s="264"/>
      <c r="J702" s="257"/>
      <c r="K702" s="257"/>
      <c r="L702" s="257"/>
      <c r="M702" s="257"/>
    </row>
    <row r="703" spans="1:13">
      <c r="A703" s="313"/>
      <c r="B703" s="181"/>
      <c r="C703" s="326"/>
      <c r="D703" s="326"/>
      <c r="E703" s="257"/>
      <c r="F703" s="264"/>
      <c r="G703" s="264"/>
      <c r="H703" s="166"/>
      <c r="I703" s="166"/>
      <c r="J703" s="257"/>
      <c r="K703" s="257"/>
      <c r="L703" s="257"/>
      <c r="M703" s="257"/>
    </row>
    <row r="704" spans="1:13">
      <c r="A704" s="18"/>
      <c r="B704" s="18"/>
      <c r="C704" s="257"/>
      <c r="D704" s="257"/>
      <c r="E704" s="257"/>
      <c r="F704" s="257"/>
      <c r="G704" s="257"/>
      <c r="H704" s="257"/>
      <c r="I704" s="257"/>
      <c r="J704" s="257"/>
      <c r="K704" s="257"/>
      <c r="L704" s="257"/>
      <c r="M704" s="257"/>
    </row>
    <row r="705" spans="1:13">
      <c r="A705" s="18"/>
      <c r="B705" s="18"/>
      <c r="C705" s="234"/>
      <c r="D705" s="234"/>
      <c r="E705" s="234"/>
      <c r="F705" s="234"/>
      <c r="G705" s="234"/>
      <c r="H705" s="234"/>
      <c r="I705" s="234"/>
      <c r="J705" s="257"/>
      <c r="K705" s="257"/>
      <c r="L705" s="257"/>
      <c r="M705" s="257"/>
    </row>
    <row r="706" spans="1:13">
      <c r="A706" s="18"/>
      <c r="B706" s="18"/>
      <c r="C706" s="257"/>
      <c r="D706" s="257"/>
      <c r="E706" s="257"/>
      <c r="F706" s="257"/>
      <c r="G706" s="257"/>
      <c r="H706" s="257"/>
      <c r="I706" s="257"/>
      <c r="J706" s="257"/>
      <c r="K706" s="257"/>
      <c r="L706" s="257"/>
      <c r="M706" s="257"/>
    </row>
    <row r="707" spans="1:13">
      <c r="A707" s="18"/>
      <c r="B707" s="18"/>
      <c r="C707" s="257"/>
      <c r="D707" s="167"/>
      <c r="E707" s="180"/>
      <c r="F707" s="221"/>
      <c r="G707" s="180"/>
      <c r="H707" s="264"/>
      <c r="I707" s="264"/>
      <c r="J707" s="257"/>
      <c r="K707" s="257"/>
      <c r="L707" s="257"/>
      <c r="M707" s="257"/>
    </row>
    <row r="708" spans="1:13">
      <c r="A708" s="18"/>
      <c r="B708" s="18"/>
      <c r="C708" s="257"/>
      <c r="D708" s="167"/>
      <c r="E708" s="318"/>
      <c r="F708" s="221"/>
      <c r="G708" s="18"/>
      <c r="H708" s="264"/>
      <c r="I708" s="264"/>
      <c r="J708" s="257"/>
      <c r="K708" s="257"/>
      <c r="L708" s="257"/>
      <c r="M708" s="257"/>
    </row>
    <row r="709" spans="1:13">
      <c r="A709" s="18"/>
      <c r="B709" s="18"/>
      <c r="C709" s="257"/>
      <c r="D709" s="167"/>
      <c r="E709" s="315"/>
      <c r="F709" s="221"/>
      <c r="G709" s="167"/>
      <c r="H709" s="172"/>
      <c r="I709" s="172"/>
      <c r="J709" s="257"/>
      <c r="K709" s="257"/>
      <c r="L709" s="257"/>
      <c r="M709" s="257"/>
    </row>
    <row r="710" spans="1:13">
      <c r="A710" s="18"/>
      <c r="B710" s="18"/>
      <c r="C710" s="257"/>
      <c r="D710" s="221"/>
      <c r="E710" s="266"/>
      <c r="F710" s="265"/>
      <c r="G710" s="18"/>
      <c r="H710" s="264"/>
      <c r="I710" s="264"/>
      <c r="J710" s="257"/>
      <c r="K710" s="257"/>
      <c r="L710" s="257"/>
      <c r="M710" s="257"/>
    </row>
    <row r="711" spans="1:13">
      <c r="A711" s="18"/>
      <c r="B711" s="18"/>
      <c r="C711" s="257"/>
      <c r="D711" s="194"/>
      <c r="E711" s="180"/>
      <c r="F711" s="18"/>
      <c r="G711" s="18"/>
      <c r="H711" s="263"/>
      <c r="I711" s="263"/>
      <c r="J711" s="257"/>
      <c r="K711" s="257"/>
      <c r="L711" s="257"/>
      <c r="M711" s="257"/>
    </row>
    <row r="712" spans="1:13">
      <c r="A712" s="18"/>
      <c r="B712" s="18"/>
      <c r="C712" s="223"/>
      <c r="D712" s="223"/>
      <c r="E712" s="223"/>
      <c r="F712" s="223"/>
      <c r="G712" s="167"/>
      <c r="H712" s="166"/>
      <c r="I712" s="166"/>
      <c r="J712" s="257"/>
      <c r="K712" s="257"/>
      <c r="L712" s="257"/>
      <c r="M712" s="257"/>
    </row>
    <row r="713" spans="1:13">
      <c r="A713" s="18"/>
      <c r="B713" s="18"/>
      <c r="C713" s="257"/>
      <c r="D713" s="194"/>
      <c r="E713" s="187"/>
      <c r="F713" s="196"/>
      <c r="G713" s="167"/>
      <c r="H713" s="257"/>
      <c r="I713" s="257"/>
      <c r="J713" s="257"/>
      <c r="K713" s="257"/>
      <c r="L713" s="257"/>
      <c r="M713" s="257"/>
    </row>
    <row r="714" spans="1:13">
      <c r="A714" s="18"/>
      <c r="B714" s="18"/>
      <c r="C714" s="188"/>
      <c r="D714" s="167"/>
      <c r="E714" s="180"/>
      <c r="F714" s="221"/>
      <c r="G714" s="18"/>
      <c r="H714" s="257"/>
      <c r="I714" s="257"/>
      <c r="J714" s="257"/>
      <c r="K714" s="257"/>
      <c r="L714" s="257"/>
      <c r="M714" s="257"/>
    </row>
    <row r="715" spans="1:13">
      <c r="A715" s="18"/>
      <c r="B715" s="18"/>
      <c r="C715" s="186"/>
      <c r="D715" s="167"/>
      <c r="E715" s="315"/>
      <c r="F715" s="221"/>
      <c r="G715" s="167"/>
      <c r="H715" s="186"/>
      <c r="I715" s="186"/>
      <c r="J715" s="257"/>
      <c r="K715" s="257"/>
      <c r="L715" s="257"/>
      <c r="M715" s="257"/>
    </row>
    <row r="716" spans="1:13">
      <c r="A716" s="18"/>
      <c r="B716" s="18"/>
      <c r="C716" s="186"/>
      <c r="D716" s="221"/>
      <c r="E716" s="266"/>
      <c r="F716" s="265"/>
      <c r="G716" s="167"/>
      <c r="H716" s="186"/>
      <c r="I716" s="186"/>
      <c r="J716" s="257"/>
      <c r="K716" s="257"/>
      <c r="L716" s="257"/>
      <c r="M716" s="257"/>
    </row>
    <row r="717" spans="1:13">
      <c r="A717" s="18"/>
      <c r="B717" s="18"/>
      <c r="C717" s="270"/>
      <c r="D717" s="194"/>
      <c r="E717" s="167"/>
      <c r="F717" s="167"/>
      <c r="G717" s="167"/>
      <c r="H717" s="270"/>
      <c r="I717" s="270"/>
      <c r="J717" s="257"/>
      <c r="K717" s="257"/>
      <c r="L717" s="257"/>
      <c r="M717" s="257"/>
    </row>
    <row r="718" spans="1:13">
      <c r="A718" s="18"/>
      <c r="B718" s="18"/>
      <c r="C718" s="257"/>
      <c r="D718" s="194"/>
      <c r="E718" s="167"/>
      <c r="F718" s="180"/>
      <c r="G718" s="167"/>
      <c r="H718" s="271"/>
      <c r="I718" s="271"/>
      <c r="J718" s="257"/>
      <c r="K718" s="257"/>
      <c r="L718" s="257"/>
      <c r="M718" s="257"/>
    </row>
    <row r="719" spans="1:13">
      <c r="A719" s="18"/>
      <c r="B719" s="18"/>
      <c r="C719" s="257"/>
      <c r="D719" s="196"/>
      <c r="E719" s="167"/>
      <c r="F719" s="18"/>
      <c r="G719" s="18"/>
      <c r="H719" s="272"/>
      <c r="I719" s="272"/>
      <c r="J719" s="257"/>
      <c r="K719" s="257"/>
      <c r="L719" s="257"/>
      <c r="M719" s="257"/>
    </row>
    <row r="720" spans="1:13">
      <c r="A720" s="18"/>
      <c r="B720" s="18"/>
      <c r="C720" s="186"/>
      <c r="D720" s="167"/>
      <c r="E720" s="180"/>
      <c r="F720" s="221"/>
      <c r="G720" s="18"/>
      <c r="H720" s="186"/>
      <c r="I720" s="186"/>
      <c r="J720" s="257"/>
      <c r="K720" s="257"/>
      <c r="L720" s="257"/>
      <c r="M720" s="257"/>
    </row>
    <row r="721" spans="1:13">
      <c r="A721" s="18"/>
      <c r="B721" s="18"/>
      <c r="C721" s="257"/>
      <c r="D721" s="167"/>
      <c r="E721" s="315"/>
      <c r="F721" s="221"/>
      <c r="G721" s="179"/>
      <c r="H721" s="272"/>
      <c r="I721" s="272"/>
      <c r="J721" s="257"/>
      <c r="K721" s="257"/>
      <c r="L721" s="257"/>
      <c r="M721" s="257"/>
    </row>
    <row r="722" spans="1:13">
      <c r="A722" s="18"/>
      <c r="B722" s="18"/>
      <c r="C722" s="257"/>
      <c r="D722" s="221"/>
      <c r="E722" s="266"/>
      <c r="F722" s="265"/>
      <c r="G722" s="257"/>
      <c r="H722" s="257"/>
      <c r="I722" s="257"/>
      <c r="J722" s="257"/>
      <c r="K722" s="257"/>
      <c r="L722" s="257"/>
      <c r="M722" s="257"/>
    </row>
    <row r="723" spans="1:13">
      <c r="A723" s="18"/>
      <c r="B723" s="18"/>
      <c r="C723" s="257"/>
      <c r="D723" s="221"/>
      <c r="E723" s="266"/>
      <c r="F723" s="265"/>
      <c r="G723" s="257"/>
      <c r="H723" s="257"/>
      <c r="I723" s="257"/>
      <c r="J723" s="257"/>
      <c r="K723" s="257"/>
      <c r="L723" s="257"/>
      <c r="M723" s="257"/>
    </row>
    <row r="724" spans="1:13">
      <c r="A724" s="18"/>
      <c r="B724" s="18"/>
      <c r="C724" s="235"/>
      <c r="D724" s="235"/>
      <c r="E724" s="235"/>
      <c r="F724" s="235"/>
      <c r="G724" s="235"/>
      <c r="H724" s="257"/>
      <c r="I724" s="257"/>
      <c r="J724" s="257"/>
      <c r="K724" s="257"/>
      <c r="L724" s="257"/>
      <c r="M724" s="257"/>
    </row>
    <row r="725" spans="1:13">
      <c r="A725" s="18"/>
      <c r="B725" s="18"/>
      <c r="C725" s="221"/>
      <c r="D725" s="221"/>
      <c r="E725" s="221"/>
      <c r="F725" s="221"/>
      <c r="G725" s="221"/>
      <c r="H725" s="257"/>
      <c r="I725" s="257"/>
      <c r="J725" s="257"/>
      <c r="K725" s="257"/>
      <c r="L725" s="257"/>
      <c r="M725" s="257"/>
    </row>
    <row r="726" spans="1:13">
      <c r="A726" s="18"/>
      <c r="B726" s="18"/>
      <c r="C726" s="221"/>
      <c r="D726" s="167"/>
      <c r="E726" s="180"/>
      <c r="F726" s="221"/>
      <c r="G726" s="221"/>
      <c r="H726" s="257"/>
      <c r="I726" s="257"/>
      <c r="J726" s="257"/>
      <c r="K726" s="257"/>
      <c r="L726" s="257"/>
      <c r="M726" s="257"/>
    </row>
    <row r="727" spans="1:13">
      <c r="A727" s="18"/>
      <c r="B727" s="18"/>
      <c r="C727" s="221"/>
      <c r="D727" s="167"/>
      <c r="E727" s="315"/>
      <c r="F727" s="221"/>
      <c r="G727" s="221"/>
      <c r="H727" s="257"/>
      <c r="I727" s="257"/>
      <c r="J727" s="257"/>
      <c r="K727" s="257"/>
      <c r="L727" s="257"/>
      <c r="M727" s="257"/>
    </row>
    <row r="728" spans="1:13">
      <c r="A728" s="18"/>
      <c r="B728" s="18"/>
      <c r="C728" s="221"/>
      <c r="D728" s="221"/>
      <c r="E728" s="266"/>
      <c r="F728" s="265"/>
      <c r="G728" s="221"/>
      <c r="H728" s="257"/>
      <c r="I728" s="257"/>
      <c r="J728" s="257"/>
      <c r="K728" s="257"/>
      <c r="L728" s="257"/>
      <c r="M728" s="257"/>
    </row>
    <row r="729" spans="1:13">
      <c r="A729" s="18"/>
      <c r="B729" s="18"/>
      <c r="C729" s="233"/>
      <c r="D729" s="233"/>
      <c r="E729" s="273"/>
      <c r="F729" s="273"/>
      <c r="G729" s="233"/>
      <c r="H729" s="233"/>
      <c r="I729" s="233"/>
      <c r="J729" s="257"/>
      <c r="K729" s="257"/>
      <c r="L729" s="257"/>
      <c r="M729" s="257"/>
    </row>
    <row r="730" spans="1:13">
      <c r="A730" s="18"/>
      <c r="B730" s="18"/>
      <c r="C730" s="234"/>
      <c r="D730" s="234"/>
      <c r="E730" s="234"/>
      <c r="F730" s="234"/>
      <c r="G730" s="234"/>
      <c r="H730" s="234"/>
      <c r="I730" s="234"/>
      <c r="J730" s="257"/>
      <c r="K730" s="257"/>
      <c r="L730" s="257"/>
      <c r="M730" s="257"/>
    </row>
    <row r="731" spans="1:13">
      <c r="A731" s="18"/>
      <c r="B731" s="18"/>
      <c r="C731" s="257"/>
      <c r="D731" s="257"/>
      <c r="E731" s="180"/>
      <c r="F731" s="180"/>
      <c r="G731" s="180"/>
      <c r="H731" s="180"/>
      <c r="I731" s="180"/>
      <c r="J731" s="257"/>
      <c r="K731" s="257"/>
      <c r="L731" s="257"/>
      <c r="M731" s="257"/>
    </row>
    <row r="732" spans="1:13">
      <c r="A732" s="18"/>
      <c r="B732" s="18"/>
      <c r="C732" s="257"/>
      <c r="D732" s="167"/>
      <c r="E732" s="180"/>
      <c r="F732" s="221"/>
      <c r="G732" s="180"/>
      <c r="H732" s="180"/>
      <c r="I732" s="180"/>
      <c r="J732" s="257"/>
      <c r="K732" s="257"/>
      <c r="L732" s="257"/>
      <c r="M732" s="257"/>
    </row>
    <row r="733" spans="1:13">
      <c r="A733" s="18"/>
      <c r="B733" s="18"/>
      <c r="C733" s="257"/>
      <c r="D733" s="167"/>
      <c r="E733" s="318"/>
      <c r="F733" s="221"/>
      <c r="G733" s="180"/>
      <c r="H733" s="180"/>
      <c r="I733" s="180"/>
      <c r="J733" s="257"/>
      <c r="K733" s="257"/>
      <c r="L733" s="257"/>
      <c r="M733" s="257"/>
    </row>
    <row r="734" spans="1:13">
      <c r="A734" s="18"/>
      <c r="B734" s="18"/>
      <c r="C734" s="257"/>
      <c r="D734" s="167"/>
      <c r="E734" s="315"/>
      <c r="F734" s="221"/>
      <c r="G734" s="257"/>
      <c r="H734" s="271"/>
      <c r="I734" s="271"/>
      <c r="J734" s="257"/>
      <c r="K734" s="257"/>
      <c r="L734" s="257"/>
      <c r="M734" s="257"/>
    </row>
    <row r="735" spans="1:13">
      <c r="A735" s="18"/>
      <c r="B735" s="18"/>
      <c r="C735" s="257"/>
      <c r="D735" s="221"/>
      <c r="E735" s="266"/>
      <c r="F735" s="265"/>
      <c r="G735" s="257"/>
      <c r="H735" s="257"/>
      <c r="I735" s="257"/>
      <c r="J735" s="257"/>
      <c r="K735" s="257"/>
      <c r="L735" s="257"/>
      <c r="M735" s="257"/>
    </row>
    <row r="736" spans="1:13">
      <c r="A736" s="18"/>
      <c r="B736" s="18"/>
      <c r="C736" s="234"/>
      <c r="D736" s="194"/>
      <c r="E736" s="180"/>
      <c r="F736" s="196"/>
      <c r="G736" s="234"/>
      <c r="H736" s="234"/>
      <c r="I736" s="234"/>
      <c r="J736" s="257"/>
      <c r="K736" s="257"/>
      <c r="L736" s="257"/>
      <c r="M736" s="257"/>
    </row>
    <row r="737" spans="1:13">
      <c r="A737" s="313"/>
      <c r="B737" s="181"/>
      <c r="C737" s="326"/>
      <c r="D737" s="326"/>
      <c r="E737" s="180"/>
      <c r="F737" s="189"/>
      <c r="G737" s="180"/>
      <c r="H737" s="189"/>
      <c r="I737" s="189"/>
      <c r="J737" s="257"/>
      <c r="K737" s="257"/>
      <c r="L737" s="257"/>
      <c r="M737" s="257"/>
    </row>
    <row r="738" spans="1:13">
      <c r="A738" s="18"/>
      <c r="B738" s="18"/>
      <c r="C738" s="257"/>
      <c r="D738" s="190"/>
      <c r="E738" s="180"/>
      <c r="F738" s="189"/>
      <c r="G738" s="180"/>
      <c r="H738" s="189"/>
      <c r="I738" s="189"/>
      <c r="J738" s="257"/>
      <c r="K738" s="257"/>
      <c r="L738" s="257"/>
      <c r="M738" s="257"/>
    </row>
    <row r="739" spans="1:13">
      <c r="A739" s="18"/>
      <c r="B739" s="18"/>
      <c r="C739" s="186"/>
      <c r="D739" s="186"/>
      <c r="E739" s="186"/>
      <c r="F739" s="186"/>
      <c r="G739" s="180"/>
      <c r="H739" s="189"/>
      <c r="I739" s="189"/>
      <c r="J739" s="257"/>
      <c r="K739" s="257"/>
      <c r="L739" s="257"/>
      <c r="M739" s="257"/>
    </row>
    <row r="740" spans="1:13">
      <c r="A740" s="18"/>
      <c r="B740" s="18"/>
      <c r="C740" s="257"/>
      <c r="D740" s="190"/>
      <c r="E740" s="180"/>
      <c r="F740" s="189"/>
      <c r="G740" s="180"/>
      <c r="H740" s="189"/>
      <c r="I740" s="189"/>
      <c r="J740" s="257"/>
      <c r="K740" s="257"/>
      <c r="L740" s="257"/>
      <c r="M740" s="257"/>
    </row>
    <row r="741" spans="1:13">
      <c r="A741" s="18"/>
      <c r="B741" s="18"/>
      <c r="C741" s="257"/>
      <c r="D741" s="190"/>
      <c r="E741" s="271"/>
      <c r="F741" s="265"/>
      <c r="G741" s="180"/>
      <c r="H741" s="189"/>
      <c r="I741" s="189"/>
      <c r="J741" s="257"/>
      <c r="K741" s="257"/>
      <c r="L741" s="257"/>
      <c r="M741" s="257"/>
    </row>
    <row r="742" spans="1:13">
      <c r="A742" s="18"/>
      <c r="B742" s="18"/>
      <c r="C742" s="257"/>
      <c r="D742" s="190"/>
      <c r="E742" s="180"/>
      <c r="F742" s="189"/>
      <c r="G742" s="180"/>
      <c r="H742" s="189"/>
      <c r="I742" s="189"/>
      <c r="J742" s="257"/>
      <c r="K742" s="257"/>
      <c r="L742" s="257"/>
      <c r="M742" s="257"/>
    </row>
    <row r="743" spans="1:13">
      <c r="A743" s="18"/>
      <c r="B743" s="18"/>
      <c r="C743" s="186"/>
      <c r="D743" s="186"/>
      <c r="E743" s="186"/>
      <c r="F743" s="186"/>
      <c r="G743" s="180"/>
      <c r="H743" s="189"/>
      <c r="I743" s="189"/>
      <c r="J743" s="257"/>
      <c r="K743" s="257"/>
      <c r="L743" s="257"/>
      <c r="M743" s="257"/>
    </row>
    <row r="744" spans="1:13">
      <c r="A744" s="18"/>
      <c r="B744" s="18"/>
      <c r="C744" s="187"/>
      <c r="D744" s="187"/>
      <c r="E744" s="187"/>
      <c r="F744" s="187"/>
      <c r="G744" s="180"/>
      <c r="H744" s="189"/>
      <c r="I744" s="189"/>
      <c r="J744" s="257"/>
      <c r="K744" s="257"/>
      <c r="L744" s="257"/>
      <c r="M744" s="257"/>
    </row>
    <row r="745" spans="1:13">
      <c r="A745" s="18"/>
      <c r="B745" s="18"/>
      <c r="C745" s="187"/>
      <c r="D745" s="167"/>
      <c r="E745" s="180"/>
      <c r="F745" s="221"/>
      <c r="G745" s="180"/>
      <c r="H745" s="189"/>
      <c r="I745" s="189"/>
      <c r="J745" s="257"/>
      <c r="K745" s="257"/>
      <c r="L745" s="257"/>
      <c r="M745" s="257"/>
    </row>
    <row r="746" spans="1:13">
      <c r="A746" s="18"/>
      <c r="B746" s="18"/>
      <c r="C746" s="187"/>
      <c r="D746" s="167"/>
      <c r="E746" s="318"/>
      <c r="F746" s="221"/>
      <c r="G746" s="180"/>
      <c r="H746" s="189"/>
      <c r="I746" s="189"/>
      <c r="J746" s="257"/>
      <c r="K746" s="257"/>
      <c r="L746" s="257"/>
      <c r="M746" s="257"/>
    </row>
    <row r="747" spans="1:13">
      <c r="A747" s="18"/>
      <c r="B747" s="18"/>
      <c r="C747" s="187"/>
      <c r="D747" s="167"/>
      <c r="E747" s="315"/>
      <c r="F747" s="221"/>
      <c r="G747" s="180"/>
      <c r="H747" s="189"/>
      <c r="I747" s="189"/>
      <c r="J747" s="257"/>
      <c r="K747" s="257"/>
      <c r="L747" s="257"/>
      <c r="M747" s="257"/>
    </row>
    <row r="748" spans="1:13">
      <c r="A748" s="18"/>
      <c r="B748" s="18"/>
      <c r="C748" s="187"/>
      <c r="D748" s="221"/>
      <c r="E748" s="266"/>
      <c r="F748" s="265"/>
      <c r="G748" s="180"/>
      <c r="H748" s="189"/>
      <c r="I748" s="189"/>
      <c r="J748" s="257"/>
      <c r="K748" s="257"/>
      <c r="L748" s="257"/>
      <c r="M748" s="257"/>
    </row>
    <row r="749" spans="1:13">
      <c r="A749" s="18"/>
      <c r="B749" s="18"/>
      <c r="C749" s="187"/>
      <c r="D749" s="194"/>
      <c r="E749" s="180"/>
      <c r="F749" s="18"/>
      <c r="G749" s="180"/>
      <c r="H749" s="189"/>
      <c r="I749" s="189"/>
      <c r="J749" s="257"/>
      <c r="K749" s="257"/>
      <c r="L749" s="257"/>
      <c r="M749" s="257"/>
    </row>
    <row r="750" spans="1:13">
      <c r="A750" s="313"/>
      <c r="B750" s="239"/>
      <c r="C750" s="327"/>
      <c r="D750" s="327"/>
      <c r="E750" s="327"/>
      <c r="F750" s="18"/>
      <c r="G750" s="180"/>
      <c r="H750" s="189"/>
      <c r="I750" s="189"/>
      <c r="J750" s="257"/>
      <c r="K750" s="257"/>
      <c r="L750" s="257"/>
      <c r="M750" s="257"/>
    </row>
    <row r="751" spans="1:13">
      <c r="A751" s="18"/>
      <c r="B751" s="18"/>
      <c r="C751" s="187"/>
      <c r="D751" s="194"/>
      <c r="E751" s="180"/>
      <c r="F751" s="196"/>
      <c r="G751" s="180"/>
      <c r="H751" s="189"/>
      <c r="I751" s="189"/>
      <c r="J751" s="257"/>
      <c r="K751" s="257"/>
      <c r="L751" s="257"/>
      <c r="M751" s="257"/>
    </row>
    <row r="752" spans="1:13">
      <c r="A752" s="18"/>
      <c r="B752" s="18"/>
      <c r="C752" s="186"/>
      <c r="D752" s="186"/>
      <c r="E752" s="180"/>
      <c r="F752" s="196"/>
      <c r="G752" s="180"/>
      <c r="H752" s="189"/>
      <c r="I752" s="189"/>
      <c r="J752" s="257"/>
      <c r="K752" s="257"/>
      <c r="L752" s="257"/>
      <c r="M752" s="257"/>
    </row>
    <row r="753" spans="1:13">
      <c r="A753" s="18"/>
      <c r="B753" s="18"/>
      <c r="C753" s="187"/>
      <c r="D753" s="194"/>
      <c r="E753" s="180"/>
      <c r="F753" s="196"/>
      <c r="G753" s="180"/>
      <c r="H753" s="189"/>
      <c r="I753" s="189"/>
      <c r="J753" s="257"/>
      <c r="K753" s="257"/>
      <c r="L753" s="257"/>
      <c r="M753" s="257"/>
    </row>
    <row r="754" spans="1:13">
      <c r="A754" s="18"/>
      <c r="B754" s="18"/>
      <c r="C754" s="187"/>
      <c r="D754" s="180"/>
      <c r="E754" s="180"/>
      <c r="F754" s="196"/>
      <c r="G754" s="180"/>
      <c r="H754" s="189"/>
      <c r="I754" s="189"/>
      <c r="J754" s="257"/>
      <c r="K754" s="257"/>
      <c r="L754" s="257"/>
      <c r="M754" s="257"/>
    </row>
    <row r="755" spans="1:13">
      <c r="A755" s="18"/>
      <c r="B755" s="18"/>
      <c r="C755" s="187"/>
      <c r="D755" s="218"/>
      <c r="E755" s="319"/>
      <c r="F755" s="196"/>
      <c r="G755" s="180"/>
      <c r="H755" s="189"/>
      <c r="I755" s="189"/>
      <c r="J755" s="257"/>
      <c r="K755" s="257"/>
      <c r="L755" s="257"/>
      <c r="M755" s="257"/>
    </row>
    <row r="756" spans="1:13">
      <c r="A756" s="18"/>
      <c r="B756" s="18"/>
      <c r="C756" s="187"/>
      <c r="D756" s="194"/>
      <c r="E756" s="187"/>
      <c r="F756" s="18"/>
      <c r="G756" s="180"/>
      <c r="H756" s="189"/>
      <c r="I756" s="189"/>
      <c r="J756" s="257"/>
      <c r="K756" s="257"/>
      <c r="L756" s="257"/>
      <c r="M756" s="257"/>
    </row>
    <row r="757" spans="1:13">
      <c r="A757" s="18"/>
      <c r="B757" s="18"/>
      <c r="C757" s="18"/>
      <c r="D757" s="18"/>
      <c r="E757" s="18"/>
      <c r="F757" s="18"/>
      <c r="G757" s="18"/>
      <c r="H757" s="18"/>
      <c r="I757" s="18"/>
      <c r="J757" s="18"/>
      <c r="K757" s="18"/>
      <c r="L757" s="18"/>
      <c r="M757" s="18"/>
    </row>
    <row r="758" spans="1:13">
      <c r="A758" s="18"/>
      <c r="B758" s="18"/>
      <c r="C758" s="18"/>
      <c r="D758" s="18"/>
      <c r="E758" s="18"/>
      <c r="F758" s="18"/>
      <c r="G758" s="18"/>
      <c r="H758" s="18"/>
      <c r="I758" s="18"/>
      <c r="J758" s="18"/>
      <c r="K758" s="18"/>
      <c r="L758" s="18"/>
      <c r="M758" s="18"/>
    </row>
    <row r="759" spans="1:13">
      <c r="A759" s="18"/>
      <c r="B759" s="18"/>
      <c r="C759" s="18"/>
      <c r="D759" s="18"/>
      <c r="E759" s="18"/>
      <c r="F759" s="18"/>
      <c r="G759" s="18"/>
      <c r="H759" s="18"/>
      <c r="I759" s="18"/>
      <c r="J759" s="18"/>
      <c r="K759" s="18"/>
      <c r="L759" s="18"/>
      <c r="M759" s="18"/>
    </row>
    <row r="760" spans="1:13">
      <c r="A760" s="18"/>
      <c r="B760" s="18"/>
      <c r="C760" s="18"/>
      <c r="D760" s="18"/>
      <c r="E760" s="18"/>
      <c r="F760" s="18"/>
      <c r="G760" s="18"/>
      <c r="H760" s="18"/>
      <c r="I760" s="18"/>
      <c r="J760" s="18"/>
      <c r="K760" s="18"/>
      <c r="L760" s="18"/>
      <c r="M760" s="18"/>
    </row>
  </sheetData>
  <mergeCells count="119">
    <mergeCell ref="B233:J234"/>
    <mergeCell ref="B178:K178"/>
    <mergeCell ref="B113:K114"/>
    <mergeCell ref="B122:K122"/>
    <mergeCell ref="B129:K130"/>
    <mergeCell ref="B137:K138"/>
    <mergeCell ref="B160:K161"/>
    <mergeCell ref="B5:J6"/>
    <mergeCell ref="B68:J69"/>
    <mergeCell ref="B75:J76"/>
    <mergeCell ref="B152:J153"/>
    <mergeCell ref="B98:K99"/>
    <mergeCell ref="B169:K170"/>
    <mergeCell ref="B171:K172"/>
    <mergeCell ref="B173:K174"/>
    <mergeCell ref="B175:K176"/>
    <mergeCell ref="B40:K42"/>
    <mergeCell ref="B52:K53"/>
    <mergeCell ref="B61:K62"/>
    <mergeCell ref="J199:J202"/>
    <mergeCell ref="K199:K202"/>
    <mergeCell ref="I187:I188"/>
    <mergeCell ref="J187:J188"/>
    <mergeCell ref="A179:D179"/>
    <mergeCell ref="F180:G180"/>
    <mergeCell ref="A181:A186"/>
    <mergeCell ref="C181:C186"/>
    <mergeCell ref="D181:D186"/>
    <mergeCell ref="H181:H186"/>
    <mergeCell ref="I181:I186"/>
    <mergeCell ref="J181:J186"/>
    <mergeCell ref="A187:A188"/>
    <mergeCell ref="C187:C188"/>
    <mergeCell ref="K181:K186"/>
    <mergeCell ref="J189:J194"/>
    <mergeCell ref="K189:K194"/>
    <mergeCell ref="A195:A198"/>
    <mergeCell ref="C195:C198"/>
    <mergeCell ref="D195:D198"/>
    <mergeCell ref="H195:H198"/>
    <mergeCell ref="I195:I198"/>
    <mergeCell ref="J195:J198"/>
    <mergeCell ref="K195:K198"/>
    <mergeCell ref="J203:J207"/>
    <mergeCell ref="K203:K207"/>
    <mergeCell ref="A203:A207"/>
    <mergeCell ref="C203:C207"/>
    <mergeCell ref="A214:A217"/>
    <mergeCell ref="C214:C217"/>
    <mergeCell ref="D214:D217"/>
    <mergeCell ref="H214:H217"/>
    <mergeCell ref="I214:I217"/>
    <mergeCell ref="J214:J217"/>
    <mergeCell ref="K214:K217"/>
    <mergeCell ref="C208:C213"/>
    <mergeCell ref="D208:D213"/>
    <mergeCell ref="H208:H213"/>
    <mergeCell ref="I208:I213"/>
    <mergeCell ref="J208:J213"/>
    <mergeCell ref="K208:K213"/>
    <mergeCell ref="A218:A221"/>
    <mergeCell ref="C218:C221"/>
    <mergeCell ref="D218:D221"/>
    <mergeCell ref="H218:H221"/>
    <mergeCell ref="I218:I221"/>
    <mergeCell ref="J218:J221"/>
    <mergeCell ref="K218:K221"/>
    <mergeCell ref="C222:C225"/>
    <mergeCell ref="D222:D225"/>
    <mergeCell ref="H222:H225"/>
    <mergeCell ref="I222:I225"/>
    <mergeCell ref="B257:F257"/>
    <mergeCell ref="B259:F259"/>
    <mergeCell ref="C1:F1"/>
    <mergeCell ref="B32:D32"/>
    <mergeCell ref="B33:C33"/>
    <mergeCell ref="B34:C34"/>
    <mergeCell ref="B35:C35"/>
    <mergeCell ref="B31:G31"/>
    <mergeCell ref="B30:K30"/>
    <mergeCell ref="B25:K25"/>
    <mergeCell ref="B18:K18"/>
    <mergeCell ref="B12:K12"/>
    <mergeCell ref="B19:G19"/>
    <mergeCell ref="B26:G26"/>
    <mergeCell ref="D187:D188"/>
    <mergeCell ref="H187:H188"/>
    <mergeCell ref="B105:K106"/>
    <mergeCell ref="D203:D207"/>
    <mergeCell ref="H203:H207"/>
    <mergeCell ref="I203:I207"/>
    <mergeCell ref="C226:C229"/>
    <mergeCell ref="D226:D229"/>
    <mergeCell ref="H226:H229"/>
    <mergeCell ref="A253:C253"/>
    <mergeCell ref="B235:K236"/>
    <mergeCell ref="B237:K238"/>
    <mergeCell ref="B239:K240"/>
    <mergeCell ref="A241:D241"/>
    <mergeCell ref="K187:K188"/>
    <mergeCell ref="J226:J229"/>
    <mergeCell ref="K226:K229"/>
    <mergeCell ref="A226:A229"/>
    <mergeCell ref="I226:I229"/>
    <mergeCell ref="A222:A225"/>
    <mergeCell ref="A230:G230"/>
    <mergeCell ref="A199:A202"/>
    <mergeCell ref="C199:C202"/>
    <mergeCell ref="D199:D202"/>
    <mergeCell ref="H199:H202"/>
    <mergeCell ref="I199:I202"/>
    <mergeCell ref="A189:A194"/>
    <mergeCell ref="C189:C194"/>
    <mergeCell ref="D189:D194"/>
    <mergeCell ref="H189:H194"/>
    <mergeCell ref="I189:I194"/>
    <mergeCell ref="A208:A213"/>
    <mergeCell ref="J222:J225"/>
    <mergeCell ref="K222:K225"/>
  </mergeCells>
  <pageMargins left="0" right="0" top="0.59055118110236227" bottom="0" header="0" footer="0"/>
  <pageSetup paperSize="9" scale="65" orientation="portrait" r:id="rId1"/>
  <rowBreaks count="7" manualBreakCount="7">
    <brk id="65" max="9" man="1"/>
    <brk id="149" max="9" man="1"/>
    <brk id="231" max="9" man="1"/>
    <brk id="260" max="7" man="1"/>
    <brk id="267" max="7" man="1"/>
    <brk id="322" max="7" man="1"/>
    <brk id="362" max="7" man="1"/>
  </rowBreaks>
  <drawing r:id="rId2"/>
</worksheet>
</file>

<file path=xl/worksheets/sheet5.xml><?xml version="1.0" encoding="utf-8"?>
<worksheet xmlns="http://schemas.openxmlformats.org/spreadsheetml/2006/main" xmlns:r="http://schemas.openxmlformats.org/officeDocument/2006/relationships">
  <sheetPr>
    <pageSetUpPr fitToPage="1"/>
  </sheetPr>
  <dimension ref="A1:G17"/>
  <sheetViews>
    <sheetView workbookViewId="0">
      <selection activeCell="B1" sqref="B1:G1"/>
    </sheetView>
  </sheetViews>
  <sheetFormatPr defaultRowHeight="12.75"/>
  <cols>
    <col min="1" max="1" width="10.5703125" style="416" customWidth="1"/>
    <col min="2" max="2" width="16" style="416" customWidth="1"/>
    <col min="3" max="3" width="40.7109375" style="416" customWidth="1"/>
    <col min="4" max="4" width="7.140625" style="416" bestFit="1" customWidth="1"/>
    <col min="5" max="5" width="10.42578125" style="416" bestFit="1" customWidth="1"/>
    <col min="6" max="6" width="11.85546875" style="416" bestFit="1" customWidth="1"/>
    <col min="7" max="7" width="14.28515625" style="416" bestFit="1" customWidth="1"/>
    <col min="8" max="256" width="8.85546875" style="416"/>
    <col min="257" max="257" width="10.5703125" style="416" customWidth="1"/>
    <col min="258" max="258" width="16" style="416" customWidth="1"/>
    <col min="259" max="259" width="40.7109375" style="416" customWidth="1"/>
    <col min="260" max="260" width="7.140625" style="416" bestFit="1" customWidth="1"/>
    <col min="261" max="261" width="10.42578125" style="416" bestFit="1" customWidth="1"/>
    <col min="262" max="262" width="11.85546875" style="416" bestFit="1" customWidth="1"/>
    <col min="263" max="263" width="14.28515625" style="416" bestFit="1" customWidth="1"/>
    <col min="264" max="512" width="8.85546875" style="416"/>
    <col min="513" max="513" width="10.5703125" style="416" customWidth="1"/>
    <col min="514" max="514" width="16" style="416" customWidth="1"/>
    <col min="515" max="515" width="40.7109375" style="416" customWidth="1"/>
    <col min="516" max="516" width="7.140625" style="416" bestFit="1" customWidth="1"/>
    <col min="517" max="517" width="10.42578125" style="416" bestFit="1" customWidth="1"/>
    <col min="518" max="518" width="11.85546875" style="416" bestFit="1" customWidth="1"/>
    <col min="519" max="519" width="14.28515625" style="416" bestFit="1" customWidth="1"/>
    <col min="520" max="768" width="8.85546875" style="416"/>
    <col min="769" max="769" width="10.5703125" style="416" customWidth="1"/>
    <col min="770" max="770" width="16" style="416" customWidth="1"/>
    <col min="771" max="771" width="40.7109375" style="416" customWidth="1"/>
    <col min="772" max="772" width="7.140625" style="416" bestFit="1" customWidth="1"/>
    <col min="773" max="773" width="10.42578125" style="416" bestFit="1" customWidth="1"/>
    <col min="774" max="774" width="11.85546875" style="416" bestFit="1" customWidth="1"/>
    <col min="775" max="775" width="14.28515625" style="416" bestFit="1" customWidth="1"/>
    <col min="776" max="1024" width="8.85546875" style="416"/>
    <col min="1025" max="1025" width="10.5703125" style="416" customWidth="1"/>
    <col min="1026" max="1026" width="16" style="416" customWidth="1"/>
    <col min="1027" max="1027" width="40.7109375" style="416" customWidth="1"/>
    <col min="1028" max="1028" width="7.140625" style="416" bestFit="1" customWidth="1"/>
    <col min="1029" max="1029" width="10.42578125" style="416" bestFit="1" customWidth="1"/>
    <col min="1030" max="1030" width="11.85546875" style="416" bestFit="1" customWidth="1"/>
    <col min="1031" max="1031" width="14.28515625" style="416" bestFit="1" customWidth="1"/>
    <col min="1032" max="1280" width="8.85546875" style="416"/>
    <col min="1281" max="1281" width="10.5703125" style="416" customWidth="1"/>
    <col min="1282" max="1282" width="16" style="416" customWidth="1"/>
    <col min="1283" max="1283" width="40.7109375" style="416" customWidth="1"/>
    <col min="1284" max="1284" width="7.140625" style="416" bestFit="1" customWidth="1"/>
    <col min="1285" max="1285" width="10.42578125" style="416" bestFit="1" customWidth="1"/>
    <col min="1286" max="1286" width="11.85546875" style="416" bestFit="1" customWidth="1"/>
    <col min="1287" max="1287" width="14.28515625" style="416" bestFit="1" customWidth="1"/>
    <col min="1288" max="1536" width="8.85546875" style="416"/>
    <col min="1537" max="1537" width="10.5703125" style="416" customWidth="1"/>
    <col min="1538" max="1538" width="16" style="416" customWidth="1"/>
    <col min="1539" max="1539" width="40.7109375" style="416" customWidth="1"/>
    <col min="1540" max="1540" width="7.140625" style="416" bestFit="1" customWidth="1"/>
    <col min="1541" max="1541" width="10.42578125" style="416" bestFit="1" customWidth="1"/>
    <col min="1542" max="1542" width="11.85546875" style="416" bestFit="1" customWidth="1"/>
    <col min="1543" max="1543" width="14.28515625" style="416" bestFit="1" customWidth="1"/>
    <col min="1544" max="1792" width="8.85546875" style="416"/>
    <col min="1793" max="1793" width="10.5703125" style="416" customWidth="1"/>
    <col min="1794" max="1794" width="16" style="416" customWidth="1"/>
    <col min="1795" max="1795" width="40.7109375" style="416" customWidth="1"/>
    <col min="1796" max="1796" width="7.140625" style="416" bestFit="1" customWidth="1"/>
    <col min="1797" max="1797" width="10.42578125" style="416" bestFit="1" customWidth="1"/>
    <col min="1798" max="1798" width="11.85546875" style="416" bestFit="1" customWidth="1"/>
    <col min="1799" max="1799" width="14.28515625" style="416" bestFit="1" customWidth="1"/>
    <col min="1800" max="2048" width="8.85546875" style="416"/>
    <col min="2049" max="2049" width="10.5703125" style="416" customWidth="1"/>
    <col min="2050" max="2050" width="16" style="416" customWidth="1"/>
    <col min="2051" max="2051" width="40.7109375" style="416" customWidth="1"/>
    <col min="2052" max="2052" width="7.140625" style="416" bestFit="1" customWidth="1"/>
    <col min="2053" max="2053" width="10.42578125" style="416" bestFit="1" customWidth="1"/>
    <col min="2054" max="2054" width="11.85546875" style="416" bestFit="1" customWidth="1"/>
    <col min="2055" max="2055" width="14.28515625" style="416" bestFit="1" customWidth="1"/>
    <col min="2056" max="2304" width="8.85546875" style="416"/>
    <col min="2305" max="2305" width="10.5703125" style="416" customWidth="1"/>
    <col min="2306" max="2306" width="16" style="416" customWidth="1"/>
    <col min="2307" max="2307" width="40.7109375" style="416" customWidth="1"/>
    <col min="2308" max="2308" width="7.140625" style="416" bestFit="1" customWidth="1"/>
    <col min="2309" max="2309" width="10.42578125" style="416" bestFit="1" customWidth="1"/>
    <col min="2310" max="2310" width="11.85546875" style="416" bestFit="1" customWidth="1"/>
    <col min="2311" max="2311" width="14.28515625" style="416" bestFit="1" customWidth="1"/>
    <col min="2312" max="2560" width="8.85546875" style="416"/>
    <col min="2561" max="2561" width="10.5703125" style="416" customWidth="1"/>
    <col min="2562" max="2562" width="16" style="416" customWidth="1"/>
    <col min="2563" max="2563" width="40.7109375" style="416" customWidth="1"/>
    <col min="2564" max="2564" width="7.140625" style="416" bestFit="1" customWidth="1"/>
    <col min="2565" max="2565" width="10.42578125" style="416" bestFit="1" customWidth="1"/>
    <col min="2566" max="2566" width="11.85546875" style="416" bestFit="1" customWidth="1"/>
    <col min="2567" max="2567" width="14.28515625" style="416" bestFit="1" customWidth="1"/>
    <col min="2568" max="2816" width="8.85546875" style="416"/>
    <col min="2817" max="2817" width="10.5703125" style="416" customWidth="1"/>
    <col min="2818" max="2818" width="16" style="416" customWidth="1"/>
    <col min="2819" max="2819" width="40.7109375" style="416" customWidth="1"/>
    <col min="2820" max="2820" width="7.140625" style="416" bestFit="1" customWidth="1"/>
    <col min="2821" max="2821" width="10.42578125" style="416" bestFit="1" customWidth="1"/>
    <col min="2822" max="2822" width="11.85546875" style="416" bestFit="1" customWidth="1"/>
    <col min="2823" max="2823" width="14.28515625" style="416" bestFit="1" customWidth="1"/>
    <col min="2824" max="3072" width="8.85546875" style="416"/>
    <col min="3073" max="3073" width="10.5703125" style="416" customWidth="1"/>
    <col min="3074" max="3074" width="16" style="416" customWidth="1"/>
    <col min="3075" max="3075" width="40.7109375" style="416" customWidth="1"/>
    <col min="3076" max="3076" width="7.140625" style="416" bestFit="1" customWidth="1"/>
    <col min="3077" max="3077" width="10.42578125" style="416" bestFit="1" customWidth="1"/>
    <col min="3078" max="3078" width="11.85546875" style="416" bestFit="1" customWidth="1"/>
    <col min="3079" max="3079" width="14.28515625" style="416" bestFit="1" customWidth="1"/>
    <col min="3080" max="3328" width="8.85546875" style="416"/>
    <col min="3329" max="3329" width="10.5703125" style="416" customWidth="1"/>
    <col min="3330" max="3330" width="16" style="416" customWidth="1"/>
    <col min="3331" max="3331" width="40.7109375" style="416" customWidth="1"/>
    <col min="3332" max="3332" width="7.140625" style="416" bestFit="1" customWidth="1"/>
    <col min="3333" max="3333" width="10.42578125" style="416" bestFit="1" customWidth="1"/>
    <col min="3334" max="3334" width="11.85546875" style="416" bestFit="1" customWidth="1"/>
    <col min="3335" max="3335" width="14.28515625" style="416" bestFit="1" customWidth="1"/>
    <col min="3336" max="3584" width="8.85546875" style="416"/>
    <col min="3585" max="3585" width="10.5703125" style="416" customWidth="1"/>
    <col min="3586" max="3586" width="16" style="416" customWidth="1"/>
    <col min="3587" max="3587" width="40.7109375" style="416" customWidth="1"/>
    <col min="3588" max="3588" width="7.140625" style="416" bestFit="1" customWidth="1"/>
    <col min="3589" max="3589" width="10.42578125" style="416" bestFit="1" customWidth="1"/>
    <col min="3590" max="3590" width="11.85546875" style="416" bestFit="1" customWidth="1"/>
    <col min="3591" max="3591" width="14.28515625" style="416" bestFit="1" customWidth="1"/>
    <col min="3592" max="3840" width="8.85546875" style="416"/>
    <col min="3841" max="3841" width="10.5703125" style="416" customWidth="1"/>
    <col min="3842" max="3842" width="16" style="416" customWidth="1"/>
    <col min="3843" max="3843" width="40.7109375" style="416" customWidth="1"/>
    <col min="3844" max="3844" width="7.140625" style="416" bestFit="1" customWidth="1"/>
    <col min="3845" max="3845" width="10.42578125" style="416" bestFit="1" customWidth="1"/>
    <col min="3846" max="3846" width="11.85546875" style="416" bestFit="1" customWidth="1"/>
    <col min="3847" max="3847" width="14.28515625" style="416" bestFit="1" customWidth="1"/>
    <col min="3848" max="4096" width="8.85546875" style="416"/>
    <col min="4097" max="4097" width="10.5703125" style="416" customWidth="1"/>
    <col min="4098" max="4098" width="16" style="416" customWidth="1"/>
    <col min="4099" max="4099" width="40.7109375" style="416" customWidth="1"/>
    <col min="4100" max="4100" width="7.140625" style="416" bestFit="1" customWidth="1"/>
    <col min="4101" max="4101" width="10.42578125" style="416" bestFit="1" customWidth="1"/>
    <col min="4102" max="4102" width="11.85546875" style="416" bestFit="1" customWidth="1"/>
    <col min="4103" max="4103" width="14.28515625" style="416" bestFit="1" customWidth="1"/>
    <col min="4104" max="4352" width="8.85546875" style="416"/>
    <col min="4353" max="4353" width="10.5703125" style="416" customWidth="1"/>
    <col min="4354" max="4354" width="16" style="416" customWidth="1"/>
    <col min="4355" max="4355" width="40.7109375" style="416" customWidth="1"/>
    <col min="4356" max="4356" width="7.140625" style="416" bestFit="1" customWidth="1"/>
    <col min="4357" max="4357" width="10.42578125" style="416" bestFit="1" customWidth="1"/>
    <col min="4358" max="4358" width="11.85546875" style="416" bestFit="1" customWidth="1"/>
    <col min="4359" max="4359" width="14.28515625" style="416" bestFit="1" customWidth="1"/>
    <col min="4360" max="4608" width="8.85546875" style="416"/>
    <col min="4609" max="4609" width="10.5703125" style="416" customWidth="1"/>
    <col min="4610" max="4610" width="16" style="416" customWidth="1"/>
    <col min="4611" max="4611" width="40.7109375" style="416" customWidth="1"/>
    <col min="4612" max="4612" width="7.140625" style="416" bestFit="1" customWidth="1"/>
    <col min="4613" max="4613" width="10.42578125" style="416" bestFit="1" customWidth="1"/>
    <col min="4614" max="4614" width="11.85546875" style="416" bestFit="1" customWidth="1"/>
    <col min="4615" max="4615" width="14.28515625" style="416" bestFit="1" customWidth="1"/>
    <col min="4616" max="4864" width="8.85546875" style="416"/>
    <col min="4865" max="4865" width="10.5703125" style="416" customWidth="1"/>
    <col min="4866" max="4866" width="16" style="416" customWidth="1"/>
    <col min="4867" max="4867" width="40.7109375" style="416" customWidth="1"/>
    <col min="4868" max="4868" width="7.140625" style="416" bestFit="1" customWidth="1"/>
    <col min="4869" max="4869" width="10.42578125" style="416" bestFit="1" customWidth="1"/>
    <col min="4870" max="4870" width="11.85546875" style="416" bestFit="1" customWidth="1"/>
    <col min="4871" max="4871" width="14.28515625" style="416" bestFit="1" customWidth="1"/>
    <col min="4872" max="5120" width="8.85546875" style="416"/>
    <col min="5121" max="5121" width="10.5703125" style="416" customWidth="1"/>
    <col min="5122" max="5122" width="16" style="416" customWidth="1"/>
    <col min="5123" max="5123" width="40.7109375" style="416" customWidth="1"/>
    <col min="5124" max="5124" width="7.140625" style="416" bestFit="1" customWidth="1"/>
    <col min="5125" max="5125" width="10.42578125" style="416" bestFit="1" customWidth="1"/>
    <col min="5126" max="5126" width="11.85546875" style="416" bestFit="1" customWidth="1"/>
    <col min="5127" max="5127" width="14.28515625" style="416" bestFit="1" customWidth="1"/>
    <col min="5128" max="5376" width="8.85546875" style="416"/>
    <col min="5377" max="5377" width="10.5703125" style="416" customWidth="1"/>
    <col min="5378" max="5378" width="16" style="416" customWidth="1"/>
    <col min="5379" max="5379" width="40.7109375" style="416" customWidth="1"/>
    <col min="5380" max="5380" width="7.140625" style="416" bestFit="1" customWidth="1"/>
    <col min="5381" max="5381" width="10.42578125" style="416" bestFit="1" customWidth="1"/>
    <col min="5382" max="5382" width="11.85546875" style="416" bestFit="1" customWidth="1"/>
    <col min="5383" max="5383" width="14.28515625" style="416" bestFit="1" customWidth="1"/>
    <col min="5384" max="5632" width="8.85546875" style="416"/>
    <col min="5633" max="5633" width="10.5703125" style="416" customWidth="1"/>
    <col min="5634" max="5634" width="16" style="416" customWidth="1"/>
    <col min="5635" max="5635" width="40.7109375" style="416" customWidth="1"/>
    <col min="5636" max="5636" width="7.140625" style="416" bestFit="1" customWidth="1"/>
    <col min="5637" max="5637" width="10.42578125" style="416" bestFit="1" customWidth="1"/>
    <col min="5638" max="5638" width="11.85546875" style="416" bestFit="1" customWidth="1"/>
    <col min="5639" max="5639" width="14.28515625" style="416" bestFit="1" customWidth="1"/>
    <col min="5640" max="5888" width="8.85546875" style="416"/>
    <col min="5889" max="5889" width="10.5703125" style="416" customWidth="1"/>
    <col min="5890" max="5890" width="16" style="416" customWidth="1"/>
    <col min="5891" max="5891" width="40.7109375" style="416" customWidth="1"/>
    <col min="5892" max="5892" width="7.140625" style="416" bestFit="1" customWidth="1"/>
    <col min="5893" max="5893" width="10.42578125" style="416" bestFit="1" customWidth="1"/>
    <col min="5894" max="5894" width="11.85546875" style="416" bestFit="1" customWidth="1"/>
    <col min="5895" max="5895" width="14.28515625" style="416" bestFit="1" customWidth="1"/>
    <col min="5896" max="6144" width="8.85546875" style="416"/>
    <col min="6145" max="6145" width="10.5703125" style="416" customWidth="1"/>
    <col min="6146" max="6146" width="16" style="416" customWidth="1"/>
    <col min="6147" max="6147" width="40.7109375" style="416" customWidth="1"/>
    <col min="6148" max="6148" width="7.140625" style="416" bestFit="1" customWidth="1"/>
    <col min="6149" max="6149" width="10.42578125" style="416" bestFit="1" customWidth="1"/>
    <col min="6150" max="6150" width="11.85546875" style="416" bestFit="1" customWidth="1"/>
    <col min="6151" max="6151" width="14.28515625" style="416" bestFit="1" customWidth="1"/>
    <col min="6152" max="6400" width="8.85546875" style="416"/>
    <col min="6401" max="6401" width="10.5703125" style="416" customWidth="1"/>
    <col min="6402" max="6402" width="16" style="416" customWidth="1"/>
    <col min="6403" max="6403" width="40.7109375" style="416" customWidth="1"/>
    <col min="6404" max="6404" width="7.140625" style="416" bestFit="1" customWidth="1"/>
    <col min="6405" max="6405" width="10.42578125" style="416" bestFit="1" customWidth="1"/>
    <col min="6406" max="6406" width="11.85546875" style="416" bestFit="1" customWidth="1"/>
    <col min="6407" max="6407" width="14.28515625" style="416" bestFit="1" customWidth="1"/>
    <col min="6408" max="6656" width="8.85546875" style="416"/>
    <col min="6657" max="6657" width="10.5703125" style="416" customWidth="1"/>
    <col min="6658" max="6658" width="16" style="416" customWidth="1"/>
    <col min="6659" max="6659" width="40.7109375" style="416" customWidth="1"/>
    <col min="6660" max="6660" width="7.140625" style="416" bestFit="1" customWidth="1"/>
    <col min="6661" max="6661" width="10.42578125" style="416" bestFit="1" customWidth="1"/>
    <col min="6662" max="6662" width="11.85546875" style="416" bestFit="1" customWidth="1"/>
    <col min="6663" max="6663" width="14.28515625" style="416" bestFit="1" customWidth="1"/>
    <col min="6664" max="6912" width="8.85546875" style="416"/>
    <col min="6913" max="6913" width="10.5703125" style="416" customWidth="1"/>
    <col min="6914" max="6914" width="16" style="416" customWidth="1"/>
    <col min="6915" max="6915" width="40.7109375" style="416" customWidth="1"/>
    <col min="6916" max="6916" width="7.140625" style="416" bestFit="1" customWidth="1"/>
    <col min="6917" max="6917" width="10.42578125" style="416" bestFit="1" customWidth="1"/>
    <col min="6918" max="6918" width="11.85546875" style="416" bestFit="1" customWidth="1"/>
    <col min="6919" max="6919" width="14.28515625" style="416" bestFit="1" customWidth="1"/>
    <col min="6920" max="7168" width="8.85546875" style="416"/>
    <col min="7169" max="7169" width="10.5703125" style="416" customWidth="1"/>
    <col min="7170" max="7170" width="16" style="416" customWidth="1"/>
    <col min="7171" max="7171" width="40.7109375" style="416" customWidth="1"/>
    <col min="7172" max="7172" width="7.140625" style="416" bestFit="1" customWidth="1"/>
    <col min="7173" max="7173" width="10.42578125" style="416" bestFit="1" customWidth="1"/>
    <col min="7174" max="7174" width="11.85546875" style="416" bestFit="1" customWidth="1"/>
    <col min="7175" max="7175" width="14.28515625" style="416" bestFit="1" customWidth="1"/>
    <col min="7176" max="7424" width="8.85546875" style="416"/>
    <col min="7425" max="7425" width="10.5703125" style="416" customWidth="1"/>
    <col min="7426" max="7426" width="16" style="416" customWidth="1"/>
    <col min="7427" max="7427" width="40.7109375" style="416" customWidth="1"/>
    <col min="7428" max="7428" width="7.140625" style="416" bestFit="1" customWidth="1"/>
    <col min="7429" max="7429" width="10.42578125" style="416" bestFit="1" customWidth="1"/>
    <col min="7430" max="7430" width="11.85546875" style="416" bestFit="1" customWidth="1"/>
    <col min="7431" max="7431" width="14.28515625" style="416" bestFit="1" customWidth="1"/>
    <col min="7432" max="7680" width="8.85546875" style="416"/>
    <col min="7681" max="7681" width="10.5703125" style="416" customWidth="1"/>
    <col min="7682" max="7682" width="16" style="416" customWidth="1"/>
    <col min="7683" max="7683" width="40.7109375" style="416" customWidth="1"/>
    <col min="7684" max="7684" width="7.140625" style="416" bestFit="1" customWidth="1"/>
    <col min="7685" max="7685" width="10.42578125" style="416" bestFit="1" customWidth="1"/>
    <col min="7686" max="7686" width="11.85546875" style="416" bestFit="1" customWidth="1"/>
    <col min="7687" max="7687" width="14.28515625" style="416" bestFit="1" customWidth="1"/>
    <col min="7688" max="7936" width="8.85546875" style="416"/>
    <col min="7937" max="7937" width="10.5703125" style="416" customWidth="1"/>
    <col min="7938" max="7938" width="16" style="416" customWidth="1"/>
    <col min="7939" max="7939" width="40.7109375" style="416" customWidth="1"/>
    <col min="7940" max="7940" width="7.140625" style="416" bestFit="1" customWidth="1"/>
    <col min="7941" max="7941" width="10.42578125" style="416" bestFit="1" customWidth="1"/>
    <col min="7942" max="7942" width="11.85546875" style="416" bestFit="1" customWidth="1"/>
    <col min="7943" max="7943" width="14.28515625" style="416" bestFit="1" customWidth="1"/>
    <col min="7944" max="8192" width="8.85546875" style="416"/>
    <col min="8193" max="8193" width="10.5703125" style="416" customWidth="1"/>
    <col min="8194" max="8194" width="16" style="416" customWidth="1"/>
    <col min="8195" max="8195" width="40.7109375" style="416" customWidth="1"/>
    <col min="8196" max="8196" width="7.140625" style="416" bestFit="1" customWidth="1"/>
    <col min="8197" max="8197" width="10.42578125" style="416" bestFit="1" customWidth="1"/>
    <col min="8198" max="8198" width="11.85546875" style="416" bestFit="1" customWidth="1"/>
    <col min="8199" max="8199" width="14.28515625" style="416" bestFit="1" customWidth="1"/>
    <col min="8200" max="8448" width="8.85546875" style="416"/>
    <col min="8449" max="8449" width="10.5703125" style="416" customWidth="1"/>
    <col min="8450" max="8450" width="16" style="416" customWidth="1"/>
    <col min="8451" max="8451" width="40.7109375" style="416" customWidth="1"/>
    <col min="8452" max="8452" width="7.140625" style="416" bestFit="1" customWidth="1"/>
    <col min="8453" max="8453" width="10.42578125" style="416" bestFit="1" customWidth="1"/>
    <col min="8454" max="8454" width="11.85546875" style="416" bestFit="1" customWidth="1"/>
    <col min="8455" max="8455" width="14.28515625" style="416" bestFit="1" customWidth="1"/>
    <col min="8456" max="8704" width="8.85546875" style="416"/>
    <col min="8705" max="8705" width="10.5703125" style="416" customWidth="1"/>
    <col min="8706" max="8706" width="16" style="416" customWidth="1"/>
    <col min="8707" max="8707" width="40.7109375" style="416" customWidth="1"/>
    <col min="8708" max="8708" width="7.140625" style="416" bestFit="1" customWidth="1"/>
    <col min="8709" max="8709" width="10.42578125" style="416" bestFit="1" customWidth="1"/>
    <col min="8710" max="8710" width="11.85546875" style="416" bestFit="1" customWidth="1"/>
    <col min="8711" max="8711" width="14.28515625" style="416" bestFit="1" customWidth="1"/>
    <col min="8712" max="8960" width="8.85546875" style="416"/>
    <col min="8961" max="8961" width="10.5703125" style="416" customWidth="1"/>
    <col min="8962" max="8962" width="16" style="416" customWidth="1"/>
    <col min="8963" max="8963" width="40.7109375" style="416" customWidth="1"/>
    <col min="8964" max="8964" width="7.140625" style="416" bestFit="1" customWidth="1"/>
    <col min="8965" max="8965" width="10.42578125" style="416" bestFit="1" customWidth="1"/>
    <col min="8966" max="8966" width="11.85546875" style="416" bestFit="1" customWidth="1"/>
    <col min="8967" max="8967" width="14.28515625" style="416" bestFit="1" customWidth="1"/>
    <col min="8968" max="9216" width="8.85546875" style="416"/>
    <col min="9217" max="9217" width="10.5703125" style="416" customWidth="1"/>
    <col min="9218" max="9218" width="16" style="416" customWidth="1"/>
    <col min="9219" max="9219" width="40.7109375" style="416" customWidth="1"/>
    <col min="9220" max="9220" width="7.140625" style="416" bestFit="1" customWidth="1"/>
    <col min="9221" max="9221" width="10.42578125" style="416" bestFit="1" customWidth="1"/>
    <col min="9222" max="9222" width="11.85546875" style="416" bestFit="1" customWidth="1"/>
    <col min="9223" max="9223" width="14.28515625" style="416" bestFit="1" customWidth="1"/>
    <col min="9224" max="9472" width="8.85546875" style="416"/>
    <col min="9473" max="9473" width="10.5703125" style="416" customWidth="1"/>
    <col min="9474" max="9474" width="16" style="416" customWidth="1"/>
    <col min="9475" max="9475" width="40.7109375" style="416" customWidth="1"/>
    <col min="9476" max="9476" width="7.140625" style="416" bestFit="1" customWidth="1"/>
    <col min="9477" max="9477" width="10.42578125" style="416" bestFit="1" customWidth="1"/>
    <col min="9478" max="9478" width="11.85546875" style="416" bestFit="1" customWidth="1"/>
    <col min="9479" max="9479" width="14.28515625" style="416" bestFit="1" customWidth="1"/>
    <col min="9480" max="9728" width="8.85546875" style="416"/>
    <col min="9729" max="9729" width="10.5703125" style="416" customWidth="1"/>
    <col min="9730" max="9730" width="16" style="416" customWidth="1"/>
    <col min="9731" max="9731" width="40.7109375" style="416" customWidth="1"/>
    <col min="9732" max="9732" width="7.140625" style="416" bestFit="1" customWidth="1"/>
    <col min="9733" max="9733" width="10.42578125" style="416" bestFit="1" customWidth="1"/>
    <col min="9734" max="9734" width="11.85546875" style="416" bestFit="1" customWidth="1"/>
    <col min="9735" max="9735" width="14.28515625" style="416" bestFit="1" customWidth="1"/>
    <col min="9736" max="9984" width="8.85546875" style="416"/>
    <col min="9985" max="9985" width="10.5703125" style="416" customWidth="1"/>
    <col min="9986" max="9986" width="16" style="416" customWidth="1"/>
    <col min="9987" max="9987" width="40.7109375" style="416" customWidth="1"/>
    <col min="9988" max="9988" width="7.140625" style="416" bestFit="1" customWidth="1"/>
    <col min="9989" max="9989" width="10.42578125" style="416" bestFit="1" customWidth="1"/>
    <col min="9990" max="9990" width="11.85546875" style="416" bestFit="1" customWidth="1"/>
    <col min="9991" max="9991" width="14.28515625" style="416" bestFit="1" customWidth="1"/>
    <col min="9992" max="10240" width="8.85546875" style="416"/>
    <col min="10241" max="10241" width="10.5703125" style="416" customWidth="1"/>
    <col min="10242" max="10242" width="16" style="416" customWidth="1"/>
    <col min="10243" max="10243" width="40.7109375" style="416" customWidth="1"/>
    <col min="10244" max="10244" width="7.140625" style="416" bestFit="1" customWidth="1"/>
    <col min="10245" max="10245" width="10.42578125" style="416" bestFit="1" customWidth="1"/>
    <col min="10246" max="10246" width="11.85546875" style="416" bestFit="1" customWidth="1"/>
    <col min="10247" max="10247" width="14.28515625" style="416" bestFit="1" customWidth="1"/>
    <col min="10248" max="10496" width="8.85546875" style="416"/>
    <col min="10497" max="10497" width="10.5703125" style="416" customWidth="1"/>
    <col min="10498" max="10498" width="16" style="416" customWidth="1"/>
    <col min="10499" max="10499" width="40.7109375" style="416" customWidth="1"/>
    <col min="10500" max="10500" width="7.140625" style="416" bestFit="1" customWidth="1"/>
    <col min="10501" max="10501" width="10.42578125" style="416" bestFit="1" customWidth="1"/>
    <col min="10502" max="10502" width="11.85546875" style="416" bestFit="1" customWidth="1"/>
    <col min="10503" max="10503" width="14.28515625" style="416" bestFit="1" customWidth="1"/>
    <col min="10504" max="10752" width="8.85546875" style="416"/>
    <col min="10753" max="10753" width="10.5703125" style="416" customWidth="1"/>
    <col min="10754" max="10754" width="16" style="416" customWidth="1"/>
    <col min="10755" max="10755" width="40.7109375" style="416" customWidth="1"/>
    <col min="10756" max="10756" width="7.140625" style="416" bestFit="1" customWidth="1"/>
    <col min="10757" max="10757" width="10.42578125" style="416" bestFit="1" customWidth="1"/>
    <col min="10758" max="10758" width="11.85546875" style="416" bestFit="1" customWidth="1"/>
    <col min="10759" max="10759" width="14.28515625" style="416" bestFit="1" customWidth="1"/>
    <col min="10760" max="11008" width="8.85546875" style="416"/>
    <col min="11009" max="11009" width="10.5703125" style="416" customWidth="1"/>
    <col min="11010" max="11010" width="16" style="416" customWidth="1"/>
    <col min="11011" max="11011" width="40.7109375" style="416" customWidth="1"/>
    <col min="11012" max="11012" width="7.140625" style="416" bestFit="1" customWidth="1"/>
    <col min="11013" max="11013" width="10.42578125" style="416" bestFit="1" customWidth="1"/>
    <col min="11014" max="11014" width="11.85546875" style="416" bestFit="1" customWidth="1"/>
    <col min="11015" max="11015" width="14.28515625" style="416" bestFit="1" customWidth="1"/>
    <col min="11016" max="11264" width="8.85546875" style="416"/>
    <col min="11265" max="11265" width="10.5703125" style="416" customWidth="1"/>
    <col min="11266" max="11266" width="16" style="416" customWidth="1"/>
    <col min="11267" max="11267" width="40.7109375" style="416" customWidth="1"/>
    <col min="11268" max="11268" width="7.140625" style="416" bestFit="1" customWidth="1"/>
    <col min="11269" max="11269" width="10.42578125" style="416" bestFit="1" customWidth="1"/>
    <col min="11270" max="11270" width="11.85546875" style="416" bestFit="1" customWidth="1"/>
    <col min="11271" max="11271" width="14.28515625" style="416" bestFit="1" customWidth="1"/>
    <col min="11272" max="11520" width="8.85546875" style="416"/>
    <col min="11521" max="11521" width="10.5703125" style="416" customWidth="1"/>
    <col min="11522" max="11522" width="16" style="416" customWidth="1"/>
    <col min="11523" max="11523" width="40.7109375" style="416" customWidth="1"/>
    <col min="11524" max="11524" width="7.140625" style="416" bestFit="1" customWidth="1"/>
    <col min="11525" max="11525" width="10.42578125" style="416" bestFit="1" customWidth="1"/>
    <col min="11526" max="11526" width="11.85546875" style="416" bestFit="1" customWidth="1"/>
    <col min="11527" max="11527" width="14.28515625" style="416" bestFit="1" customWidth="1"/>
    <col min="11528" max="11776" width="8.85546875" style="416"/>
    <col min="11777" max="11777" width="10.5703125" style="416" customWidth="1"/>
    <col min="11778" max="11778" width="16" style="416" customWidth="1"/>
    <col min="11779" max="11779" width="40.7109375" style="416" customWidth="1"/>
    <col min="11780" max="11780" width="7.140625" style="416" bestFit="1" customWidth="1"/>
    <col min="11781" max="11781" width="10.42578125" style="416" bestFit="1" customWidth="1"/>
    <col min="11782" max="11782" width="11.85546875" style="416" bestFit="1" customWidth="1"/>
    <col min="11783" max="11783" width="14.28515625" style="416" bestFit="1" customWidth="1"/>
    <col min="11784" max="12032" width="8.85546875" style="416"/>
    <col min="12033" max="12033" width="10.5703125" style="416" customWidth="1"/>
    <col min="12034" max="12034" width="16" style="416" customWidth="1"/>
    <col min="12035" max="12035" width="40.7109375" style="416" customWidth="1"/>
    <col min="12036" max="12036" width="7.140625" style="416" bestFit="1" customWidth="1"/>
    <col min="12037" max="12037" width="10.42578125" style="416" bestFit="1" customWidth="1"/>
    <col min="12038" max="12038" width="11.85546875" style="416" bestFit="1" customWidth="1"/>
    <col min="12039" max="12039" width="14.28515625" style="416" bestFit="1" customWidth="1"/>
    <col min="12040" max="12288" width="8.85546875" style="416"/>
    <col min="12289" max="12289" width="10.5703125" style="416" customWidth="1"/>
    <col min="12290" max="12290" width="16" style="416" customWidth="1"/>
    <col min="12291" max="12291" width="40.7109375" style="416" customWidth="1"/>
    <col min="12292" max="12292" width="7.140625" style="416" bestFit="1" customWidth="1"/>
    <col min="12293" max="12293" width="10.42578125" style="416" bestFit="1" customWidth="1"/>
    <col min="12294" max="12294" width="11.85546875" style="416" bestFit="1" customWidth="1"/>
    <col min="12295" max="12295" width="14.28515625" style="416" bestFit="1" customWidth="1"/>
    <col min="12296" max="12544" width="8.85546875" style="416"/>
    <col min="12545" max="12545" width="10.5703125" style="416" customWidth="1"/>
    <col min="12546" max="12546" width="16" style="416" customWidth="1"/>
    <col min="12547" max="12547" width="40.7109375" style="416" customWidth="1"/>
    <col min="12548" max="12548" width="7.140625" style="416" bestFit="1" customWidth="1"/>
    <col min="12549" max="12549" width="10.42578125" style="416" bestFit="1" customWidth="1"/>
    <col min="12550" max="12550" width="11.85546875" style="416" bestFit="1" customWidth="1"/>
    <col min="12551" max="12551" width="14.28515625" style="416" bestFit="1" customWidth="1"/>
    <col min="12552" max="12800" width="8.85546875" style="416"/>
    <col min="12801" max="12801" width="10.5703125" style="416" customWidth="1"/>
    <col min="12802" max="12802" width="16" style="416" customWidth="1"/>
    <col min="12803" max="12803" width="40.7109375" style="416" customWidth="1"/>
    <col min="12804" max="12804" width="7.140625" style="416" bestFit="1" customWidth="1"/>
    <col min="12805" max="12805" width="10.42578125" style="416" bestFit="1" customWidth="1"/>
    <col min="12806" max="12806" width="11.85546875" style="416" bestFit="1" customWidth="1"/>
    <col min="12807" max="12807" width="14.28515625" style="416" bestFit="1" customWidth="1"/>
    <col min="12808" max="13056" width="8.85546875" style="416"/>
    <col min="13057" max="13057" width="10.5703125" style="416" customWidth="1"/>
    <col min="13058" max="13058" width="16" style="416" customWidth="1"/>
    <col min="13059" max="13059" width="40.7109375" style="416" customWidth="1"/>
    <col min="13060" max="13060" width="7.140625" style="416" bestFit="1" customWidth="1"/>
    <col min="13061" max="13061" width="10.42578125" style="416" bestFit="1" customWidth="1"/>
    <col min="13062" max="13062" width="11.85546875" style="416" bestFit="1" customWidth="1"/>
    <col min="13063" max="13063" width="14.28515625" style="416" bestFit="1" customWidth="1"/>
    <col min="13064" max="13312" width="8.85546875" style="416"/>
    <col min="13313" max="13313" width="10.5703125" style="416" customWidth="1"/>
    <col min="13314" max="13314" width="16" style="416" customWidth="1"/>
    <col min="13315" max="13315" width="40.7109375" style="416" customWidth="1"/>
    <col min="13316" max="13316" width="7.140625" style="416" bestFit="1" customWidth="1"/>
    <col min="13317" max="13317" width="10.42578125" style="416" bestFit="1" customWidth="1"/>
    <col min="13318" max="13318" width="11.85546875" style="416" bestFit="1" customWidth="1"/>
    <col min="13319" max="13319" width="14.28515625" style="416" bestFit="1" customWidth="1"/>
    <col min="13320" max="13568" width="8.85546875" style="416"/>
    <col min="13569" max="13569" width="10.5703125" style="416" customWidth="1"/>
    <col min="13570" max="13570" width="16" style="416" customWidth="1"/>
    <col min="13571" max="13571" width="40.7109375" style="416" customWidth="1"/>
    <col min="13572" max="13572" width="7.140625" style="416" bestFit="1" customWidth="1"/>
    <col min="13573" max="13573" width="10.42578125" style="416" bestFit="1" customWidth="1"/>
    <col min="13574" max="13574" width="11.85546875" style="416" bestFit="1" customWidth="1"/>
    <col min="13575" max="13575" width="14.28515625" style="416" bestFit="1" customWidth="1"/>
    <col min="13576" max="13824" width="8.85546875" style="416"/>
    <col min="13825" max="13825" width="10.5703125" style="416" customWidth="1"/>
    <col min="13826" max="13826" width="16" style="416" customWidth="1"/>
    <col min="13827" max="13827" width="40.7109375" style="416" customWidth="1"/>
    <col min="13828" max="13828" width="7.140625" style="416" bestFit="1" customWidth="1"/>
    <col min="13829" max="13829" width="10.42578125" style="416" bestFit="1" customWidth="1"/>
    <col min="13830" max="13830" width="11.85546875" style="416" bestFit="1" customWidth="1"/>
    <col min="13831" max="13831" width="14.28515625" style="416" bestFit="1" customWidth="1"/>
    <col min="13832" max="14080" width="8.85546875" style="416"/>
    <col min="14081" max="14081" width="10.5703125" style="416" customWidth="1"/>
    <col min="14082" max="14082" width="16" style="416" customWidth="1"/>
    <col min="14083" max="14083" width="40.7109375" style="416" customWidth="1"/>
    <col min="14084" max="14084" width="7.140625" style="416" bestFit="1" customWidth="1"/>
    <col min="14085" max="14085" width="10.42578125" style="416" bestFit="1" customWidth="1"/>
    <col min="14086" max="14086" width="11.85546875" style="416" bestFit="1" customWidth="1"/>
    <col min="14087" max="14087" width="14.28515625" style="416" bestFit="1" customWidth="1"/>
    <col min="14088" max="14336" width="8.85546875" style="416"/>
    <col min="14337" max="14337" width="10.5703125" style="416" customWidth="1"/>
    <col min="14338" max="14338" width="16" style="416" customWidth="1"/>
    <col min="14339" max="14339" width="40.7109375" style="416" customWidth="1"/>
    <col min="14340" max="14340" width="7.140625" style="416" bestFit="1" customWidth="1"/>
    <col min="14341" max="14341" width="10.42578125" style="416" bestFit="1" customWidth="1"/>
    <col min="14342" max="14342" width="11.85546875" style="416" bestFit="1" customWidth="1"/>
    <col min="14343" max="14343" width="14.28515625" style="416" bestFit="1" customWidth="1"/>
    <col min="14344" max="14592" width="8.85546875" style="416"/>
    <col min="14593" max="14593" width="10.5703125" style="416" customWidth="1"/>
    <col min="14594" max="14594" width="16" style="416" customWidth="1"/>
    <col min="14595" max="14595" width="40.7109375" style="416" customWidth="1"/>
    <col min="14596" max="14596" width="7.140625" style="416" bestFit="1" customWidth="1"/>
    <col min="14597" max="14597" width="10.42578125" style="416" bestFit="1" customWidth="1"/>
    <col min="14598" max="14598" width="11.85546875" style="416" bestFit="1" customWidth="1"/>
    <col min="14599" max="14599" width="14.28515625" style="416" bestFit="1" customWidth="1"/>
    <col min="14600" max="14848" width="8.85546875" style="416"/>
    <col min="14849" max="14849" width="10.5703125" style="416" customWidth="1"/>
    <col min="14850" max="14850" width="16" style="416" customWidth="1"/>
    <col min="14851" max="14851" width="40.7109375" style="416" customWidth="1"/>
    <col min="14852" max="14852" width="7.140625" style="416" bestFit="1" customWidth="1"/>
    <col min="14853" max="14853" width="10.42578125" style="416" bestFit="1" customWidth="1"/>
    <col min="14854" max="14854" width="11.85546875" style="416" bestFit="1" customWidth="1"/>
    <col min="14855" max="14855" width="14.28515625" style="416" bestFit="1" customWidth="1"/>
    <col min="14856" max="15104" width="8.85546875" style="416"/>
    <col min="15105" max="15105" width="10.5703125" style="416" customWidth="1"/>
    <col min="15106" max="15106" width="16" style="416" customWidth="1"/>
    <col min="15107" max="15107" width="40.7109375" style="416" customWidth="1"/>
    <col min="15108" max="15108" width="7.140625" style="416" bestFit="1" customWidth="1"/>
    <col min="15109" max="15109" width="10.42578125" style="416" bestFit="1" customWidth="1"/>
    <col min="15110" max="15110" width="11.85546875" style="416" bestFit="1" customWidth="1"/>
    <col min="15111" max="15111" width="14.28515625" style="416" bestFit="1" customWidth="1"/>
    <col min="15112" max="15360" width="8.85546875" style="416"/>
    <col min="15361" max="15361" width="10.5703125" style="416" customWidth="1"/>
    <col min="15362" max="15362" width="16" style="416" customWidth="1"/>
    <col min="15363" max="15363" width="40.7109375" style="416" customWidth="1"/>
    <col min="15364" max="15364" width="7.140625" style="416" bestFit="1" customWidth="1"/>
    <col min="15365" max="15365" width="10.42578125" style="416" bestFit="1" customWidth="1"/>
    <col min="15366" max="15366" width="11.85546875" style="416" bestFit="1" customWidth="1"/>
    <col min="15367" max="15367" width="14.28515625" style="416" bestFit="1" customWidth="1"/>
    <col min="15368" max="15616" width="8.85546875" style="416"/>
    <col min="15617" max="15617" width="10.5703125" style="416" customWidth="1"/>
    <col min="15618" max="15618" width="16" style="416" customWidth="1"/>
    <col min="15619" max="15619" width="40.7109375" style="416" customWidth="1"/>
    <col min="15620" max="15620" width="7.140625" style="416" bestFit="1" customWidth="1"/>
    <col min="15621" max="15621" width="10.42578125" style="416" bestFit="1" customWidth="1"/>
    <col min="15622" max="15622" width="11.85546875" style="416" bestFit="1" customWidth="1"/>
    <col min="15623" max="15623" width="14.28515625" style="416" bestFit="1" customWidth="1"/>
    <col min="15624" max="15872" width="8.85546875" style="416"/>
    <col min="15873" max="15873" width="10.5703125" style="416" customWidth="1"/>
    <col min="15874" max="15874" width="16" style="416" customWidth="1"/>
    <col min="15875" max="15875" width="40.7109375" style="416" customWidth="1"/>
    <col min="15876" max="15876" width="7.140625" style="416" bestFit="1" customWidth="1"/>
    <col min="15877" max="15877" width="10.42578125" style="416" bestFit="1" customWidth="1"/>
    <col min="15878" max="15878" width="11.85546875" style="416" bestFit="1" customWidth="1"/>
    <col min="15879" max="15879" width="14.28515625" style="416" bestFit="1" customWidth="1"/>
    <col min="15880" max="16128" width="8.85546875" style="416"/>
    <col min="16129" max="16129" width="10.5703125" style="416" customWidth="1"/>
    <col min="16130" max="16130" width="16" style="416" customWidth="1"/>
    <col min="16131" max="16131" width="40.7109375" style="416" customWidth="1"/>
    <col min="16132" max="16132" width="7.140625" style="416" bestFit="1" customWidth="1"/>
    <col min="16133" max="16133" width="10.42578125" style="416" bestFit="1" customWidth="1"/>
    <col min="16134" max="16134" width="11.85546875" style="416" bestFit="1" customWidth="1"/>
    <col min="16135" max="16135" width="14.28515625" style="416" bestFit="1" customWidth="1"/>
    <col min="16136" max="16384" width="8.85546875" style="416"/>
  </cols>
  <sheetData>
    <row r="1" spans="1:7" ht="15">
      <c r="A1" s="461"/>
      <c r="B1" s="908" t="s">
        <v>481</v>
      </c>
      <c r="C1" s="909"/>
      <c r="D1" s="909"/>
      <c r="E1" s="909"/>
      <c r="F1" s="909"/>
      <c r="G1" s="910"/>
    </row>
    <row r="2" spans="1:7">
      <c r="A2" s="462"/>
      <c r="B2" s="463"/>
      <c r="C2" s="464" t="s">
        <v>338</v>
      </c>
      <c r="D2" s="465" t="s">
        <v>150</v>
      </c>
      <c r="E2" s="465" t="s">
        <v>339</v>
      </c>
      <c r="F2" s="466" t="s">
        <v>340</v>
      </c>
      <c r="G2" s="467" t="s">
        <v>341</v>
      </c>
    </row>
    <row r="3" spans="1:7" ht="56.25">
      <c r="A3" s="468"/>
      <c r="B3" s="469" t="s">
        <v>334</v>
      </c>
      <c r="C3" s="470" t="s">
        <v>335</v>
      </c>
      <c r="D3" s="471" t="s">
        <v>306</v>
      </c>
      <c r="E3" s="472">
        <v>44470</v>
      </c>
      <c r="F3" s="472" t="s">
        <v>342</v>
      </c>
      <c r="G3" s="473">
        <f>SUM(G5:G8)</f>
        <v>287.85779618399999</v>
      </c>
    </row>
    <row r="4" spans="1:7">
      <c r="A4" s="474"/>
      <c r="B4" s="475" t="s">
        <v>148</v>
      </c>
      <c r="C4" s="474" t="s">
        <v>343</v>
      </c>
      <c r="D4" s="476" t="s">
        <v>150</v>
      </c>
      <c r="E4" s="476" t="s">
        <v>344</v>
      </c>
      <c r="F4" s="476" t="s">
        <v>345</v>
      </c>
      <c r="G4" s="476" t="s">
        <v>346</v>
      </c>
    </row>
    <row r="5" spans="1:7" ht="22.5">
      <c r="A5" s="477" t="s">
        <v>342</v>
      </c>
      <c r="B5" s="478" t="s">
        <v>347</v>
      </c>
      <c r="C5" s="479" t="s">
        <v>348</v>
      </c>
      <c r="D5" s="477" t="s">
        <v>92</v>
      </c>
      <c r="E5" s="480">
        <v>13.8697312</v>
      </c>
      <c r="F5" s="481">
        <v>2.76</v>
      </c>
      <c r="G5" s="482">
        <f>E5*F5</f>
        <v>38.280458111999998</v>
      </c>
    </row>
    <row r="6" spans="1:7" ht="22.5">
      <c r="A6" s="477" t="s">
        <v>342</v>
      </c>
      <c r="B6" s="478" t="s">
        <v>349</v>
      </c>
      <c r="C6" s="479" t="s">
        <v>350</v>
      </c>
      <c r="D6" s="477" t="s">
        <v>92</v>
      </c>
      <c r="E6" s="480">
        <v>13.8697312</v>
      </c>
      <c r="F6" s="481">
        <v>5.37</v>
      </c>
      <c r="G6" s="482">
        <f>E6*F6</f>
        <v>74.480456544000006</v>
      </c>
    </row>
    <row r="7" spans="1:7" ht="45">
      <c r="A7" s="477" t="s">
        <v>342</v>
      </c>
      <c r="B7" s="478" t="s">
        <v>474</v>
      </c>
      <c r="C7" s="479" t="s">
        <v>351</v>
      </c>
      <c r="D7" s="477" t="s">
        <v>92</v>
      </c>
      <c r="E7" s="480">
        <v>13.8697312</v>
      </c>
      <c r="F7" s="481">
        <v>12.19</v>
      </c>
      <c r="G7" s="483">
        <f>E7*F7</f>
        <v>169.072023328</v>
      </c>
    </row>
    <row r="8" spans="1:7" ht="33.75">
      <c r="A8" s="477" t="s">
        <v>342</v>
      </c>
      <c r="B8" s="478" t="s">
        <v>473</v>
      </c>
      <c r="C8" s="479" t="s">
        <v>352</v>
      </c>
      <c r="D8" s="477" t="s">
        <v>306</v>
      </c>
      <c r="E8" s="480">
        <v>0.63419559999999997</v>
      </c>
      <c r="F8" s="481">
        <v>9.5</v>
      </c>
      <c r="G8" s="483">
        <f>E8*F8</f>
        <v>6.0248581999999997</v>
      </c>
    </row>
    <row r="9" spans="1:7">
      <c r="A9" s="478"/>
      <c r="B9" s="478"/>
      <c r="C9" s="484"/>
      <c r="D9" s="485"/>
      <c r="E9" s="480"/>
      <c r="F9" s="481"/>
      <c r="G9" s="486"/>
    </row>
    <row r="10" spans="1:7">
      <c r="A10" s="462"/>
      <c r="B10" s="463"/>
      <c r="C10" s="464"/>
      <c r="D10" s="465"/>
      <c r="E10" s="465"/>
      <c r="F10" s="466"/>
      <c r="G10" s="467"/>
    </row>
    <row r="11" spans="1:7">
      <c r="A11" s="462"/>
      <c r="B11" s="463"/>
      <c r="C11" s="464" t="s">
        <v>338</v>
      </c>
      <c r="D11" s="465" t="s">
        <v>150</v>
      </c>
      <c r="E11" s="465" t="s">
        <v>339</v>
      </c>
      <c r="F11" s="466" t="s">
        <v>340</v>
      </c>
      <c r="G11" s="467" t="s">
        <v>341</v>
      </c>
    </row>
    <row r="12" spans="1:7" ht="22.5">
      <c r="A12" s="468"/>
      <c r="B12" s="685" t="s">
        <v>418</v>
      </c>
      <c r="C12" s="686" t="s">
        <v>419</v>
      </c>
      <c r="D12" s="687" t="s">
        <v>269</v>
      </c>
      <c r="E12" s="472">
        <v>44470</v>
      </c>
      <c r="F12" s="472" t="s">
        <v>342</v>
      </c>
      <c r="G12" s="473">
        <f>SUM(G14:G15)</f>
        <v>112.5</v>
      </c>
    </row>
    <row r="13" spans="1:7">
      <c r="A13" s="474"/>
      <c r="B13" s="475" t="s">
        <v>148</v>
      </c>
      <c r="C13" s="474" t="s">
        <v>343</v>
      </c>
      <c r="D13" s="476" t="s">
        <v>150</v>
      </c>
      <c r="E13" s="476" t="s">
        <v>344</v>
      </c>
      <c r="F13" s="476" t="s">
        <v>345</v>
      </c>
      <c r="G13" s="476" t="s">
        <v>346</v>
      </c>
    </row>
    <row r="14" spans="1:7" ht="26.45" customHeight="1">
      <c r="A14" s="477" t="s">
        <v>423</v>
      </c>
      <c r="B14" s="692" t="s">
        <v>424</v>
      </c>
      <c r="C14" s="721" t="str">
        <f>COTAÇÃO!B9</f>
        <v>PLAFON LED QUADRADO/CIRCULAR DE EMBUTIR 20X20 24W, REFERÊNCIA SLIM AVANT</v>
      </c>
      <c r="D14" s="690" t="s">
        <v>269</v>
      </c>
      <c r="E14" s="480">
        <v>1</v>
      </c>
      <c r="F14" s="691">
        <f>COTAÇÃO!F9</f>
        <v>71.100000000000009</v>
      </c>
      <c r="G14" s="482">
        <f>E14*F14</f>
        <v>71.100000000000009</v>
      </c>
    </row>
    <row r="15" spans="1:7">
      <c r="A15" s="477" t="s">
        <v>342</v>
      </c>
      <c r="B15" s="688" t="s">
        <v>420</v>
      </c>
      <c r="C15" s="689" t="s">
        <v>421</v>
      </c>
      <c r="D15" s="690" t="s">
        <v>422</v>
      </c>
      <c r="E15" s="480">
        <v>2</v>
      </c>
      <c r="F15" s="691">
        <v>20.7</v>
      </c>
      <c r="G15" s="482">
        <f>E15*F15</f>
        <v>41.4</v>
      </c>
    </row>
    <row r="16" spans="1:7">
      <c r="A16" s="478"/>
      <c r="B16" s="478"/>
      <c r="C16" s="484"/>
      <c r="D16" s="485"/>
      <c r="E16" s="480"/>
      <c r="F16" s="481"/>
      <c r="G16" s="486"/>
    </row>
    <row r="17" spans="1:7">
      <c r="A17" s="462"/>
      <c r="B17" s="463"/>
      <c r="C17" s="464"/>
      <c r="D17" s="465"/>
      <c r="E17" s="465"/>
      <c r="F17" s="466"/>
      <c r="G17" s="467"/>
    </row>
  </sheetData>
  <mergeCells count="1">
    <mergeCell ref="B1:G1"/>
  </mergeCells>
  <pageMargins left="0.511811024" right="0.511811024" top="0.78740157499999996" bottom="0.78740157499999996" header="0.31496062000000002" footer="0.31496062000000002"/>
  <pageSetup paperSize="9" scale="83"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F14"/>
  <sheetViews>
    <sheetView workbookViewId="0">
      <selection activeCell="B22" sqref="B22"/>
    </sheetView>
  </sheetViews>
  <sheetFormatPr defaultRowHeight="15"/>
  <cols>
    <col min="1" max="1" width="15.7109375" customWidth="1"/>
    <col min="2" max="2" width="54.85546875" customWidth="1"/>
    <col min="3" max="3" width="11.28515625" customWidth="1"/>
    <col min="4" max="4" width="9.7109375" customWidth="1"/>
    <col min="5" max="5" width="10.42578125" bestFit="1" customWidth="1"/>
    <col min="6" max="6" width="13.28515625" customWidth="1"/>
  </cols>
  <sheetData>
    <row r="1" spans="1:6" ht="15.75">
      <c r="A1" s="911" t="s">
        <v>423</v>
      </c>
      <c r="B1" s="912"/>
      <c r="C1" s="912"/>
      <c r="D1" s="912"/>
      <c r="E1" s="912"/>
      <c r="F1" s="913"/>
    </row>
    <row r="2" spans="1:6" s="710" customFormat="1" ht="19.149999999999999" customHeight="1">
      <c r="A2" s="706" t="str">
        <f>'MPO I'!A3:E3</f>
        <v xml:space="preserve">identificação da Licitante: </v>
      </c>
      <c r="B2" s="707"/>
      <c r="C2" s="708"/>
      <c r="D2" s="708"/>
      <c r="E2" s="708"/>
      <c r="F2" s="709"/>
    </row>
    <row r="3" spans="1:6" s="710" customFormat="1" ht="19.899999999999999" customHeight="1">
      <c r="A3" s="706" t="str">
        <f>'MPO I'!A4:E4</f>
        <v>OBRA:  Troca de cobertura e pintura da Farmácia de Minas</v>
      </c>
      <c r="B3" s="707"/>
      <c r="C3" s="708"/>
      <c r="D3" s="708"/>
      <c r="E3" s="708"/>
      <c r="F3" s="709"/>
    </row>
    <row r="4" spans="1:6" s="710" customFormat="1" ht="19.149999999999999" customHeight="1">
      <c r="A4" s="706" t="str">
        <f>'MPO I'!A5:E5</f>
        <v>LOCAL:  Rua Capitão João Mariano Dias nº96 - Centro - Bocaina de Minas /MG</v>
      </c>
      <c r="B4" s="707"/>
      <c r="C4" s="708"/>
      <c r="D4" s="708"/>
      <c r="E4" s="708"/>
      <c r="F4" s="709"/>
    </row>
    <row r="5" spans="1:6" s="710" customFormat="1" ht="30" customHeight="1">
      <c r="A5" s="914" t="e">
        <f>'MPO I'!#REF!</f>
        <v>#REF!</v>
      </c>
      <c r="B5" s="915"/>
      <c r="C5" s="915"/>
      <c r="D5" s="915"/>
      <c r="E5" s="915"/>
      <c r="F5" s="916"/>
    </row>
    <row r="6" spans="1:6" s="710" customFormat="1" ht="16.149999999999999" customHeight="1">
      <c r="A6" s="711" t="str">
        <f>'MPO I'!A6:E6</f>
        <v xml:space="preserve">PRAZO DE EXECUÇÃO: 2 meses </v>
      </c>
      <c r="B6" s="712"/>
      <c r="C6" s="713"/>
      <c r="D6" s="713"/>
      <c r="E6" s="713"/>
      <c r="F6" s="714"/>
    </row>
    <row r="7" spans="1:6">
      <c r="A7" s="693"/>
      <c r="B7" s="917" t="s">
        <v>425</v>
      </c>
      <c r="C7" s="918"/>
      <c r="D7" s="918"/>
      <c r="E7" s="918"/>
      <c r="F7" s="919"/>
    </row>
    <row r="8" spans="1:6">
      <c r="A8" s="694"/>
      <c r="B8" s="695" t="s">
        <v>338</v>
      </c>
      <c r="C8" s="696" t="s">
        <v>150</v>
      </c>
      <c r="D8" s="696" t="s">
        <v>339</v>
      </c>
      <c r="E8" s="697"/>
      <c r="F8" s="698" t="s">
        <v>341</v>
      </c>
    </row>
    <row r="9" spans="1:6" ht="22.5">
      <c r="A9" s="699" t="s">
        <v>426</v>
      </c>
      <c r="B9" s="700" t="str">
        <f>'COMPOSIÇÃO DE CUSTO'!C12</f>
        <v>PLAFON LED QUADRADO/CIRCULAR DE EMBUTIR 20X20 24W, REFERÊNCIA SLIM AVANT</v>
      </c>
      <c r="C9" s="687" t="s">
        <v>269</v>
      </c>
      <c r="D9" s="701">
        <v>44531</v>
      </c>
      <c r="E9" s="697"/>
      <c r="F9" s="702">
        <f>SUM(F11:F13)/3</f>
        <v>71.100000000000009</v>
      </c>
    </row>
    <row r="10" spans="1:6">
      <c r="A10" s="703" t="s">
        <v>427</v>
      </c>
      <c r="B10" s="703" t="s">
        <v>428</v>
      </c>
      <c r="C10" s="704" t="s">
        <v>429</v>
      </c>
      <c r="D10" s="704" t="s">
        <v>430</v>
      </c>
      <c r="E10" s="705" t="s">
        <v>431</v>
      </c>
      <c r="F10" s="704" t="s">
        <v>432</v>
      </c>
    </row>
    <row r="11" spans="1:6" s="32" customFormat="1">
      <c r="A11" s="763" t="s">
        <v>433</v>
      </c>
      <c r="B11" s="764" t="s">
        <v>434</v>
      </c>
      <c r="C11" s="765" t="s">
        <v>435</v>
      </c>
      <c r="D11" s="766" t="s">
        <v>436</v>
      </c>
      <c r="E11" s="767">
        <v>44559</v>
      </c>
      <c r="F11" s="768">
        <v>70</v>
      </c>
    </row>
    <row r="12" spans="1:6" s="32" customFormat="1">
      <c r="A12" s="763" t="s">
        <v>437</v>
      </c>
      <c r="B12" s="764" t="s">
        <v>438</v>
      </c>
      <c r="C12" s="765" t="s">
        <v>439</v>
      </c>
      <c r="D12" s="766" t="s">
        <v>440</v>
      </c>
      <c r="E12" s="767">
        <v>44565</v>
      </c>
      <c r="F12" s="768">
        <v>75</v>
      </c>
    </row>
    <row r="13" spans="1:6" s="32" customFormat="1">
      <c r="A13" s="763" t="s">
        <v>441</v>
      </c>
      <c r="B13" s="764" t="s">
        <v>442</v>
      </c>
      <c r="C13" s="765" t="s">
        <v>443</v>
      </c>
      <c r="D13" s="766" t="s">
        <v>444</v>
      </c>
      <c r="E13" s="767">
        <v>44550</v>
      </c>
      <c r="F13" s="768">
        <v>68.3</v>
      </c>
    </row>
    <row r="14" spans="1:6" ht="6" customHeight="1">
      <c r="A14" s="715"/>
      <c r="B14" s="716"/>
      <c r="C14" s="717"/>
      <c r="D14" s="718"/>
      <c r="E14" s="719"/>
      <c r="F14" s="720"/>
    </row>
  </sheetData>
  <mergeCells count="3">
    <mergeCell ref="A1:F1"/>
    <mergeCell ref="A5:F5"/>
    <mergeCell ref="B7:F7"/>
  </mergeCells>
  <pageMargins left="0.511811024" right="0.511811024" top="0.78740157499999996" bottom="0.78740157499999996" header="0.31496062000000002" footer="0.31496062000000002"/>
  <pageSetup paperSize="9" scale="80"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L50"/>
  <sheetViews>
    <sheetView view="pageBreakPreview" topLeftCell="A37" zoomScaleSheetLayoutView="100" workbookViewId="0">
      <selection activeCell="B41" sqref="B41"/>
    </sheetView>
  </sheetViews>
  <sheetFormatPr defaultRowHeight="15"/>
  <cols>
    <col min="1" max="1" width="5.28515625" customWidth="1"/>
    <col min="2" max="2" width="12.7109375" customWidth="1"/>
    <col min="3" max="3" width="75.7109375" customWidth="1"/>
    <col min="4" max="4" width="9.28515625" customWidth="1"/>
    <col min="5" max="5" width="12.7109375" customWidth="1"/>
    <col min="6" max="7" width="12.7109375" style="287" customWidth="1"/>
    <col min="8" max="8" width="12.7109375" customWidth="1"/>
    <col min="10" max="10" width="12.7109375" bestFit="1" customWidth="1"/>
  </cols>
  <sheetData>
    <row r="1" spans="1:12" ht="20.100000000000001" customHeight="1" thickBot="1">
      <c r="A1" s="941" t="s">
        <v>139</v>
      </c>
      <c r="B1" s="942"/>
      <c r="C1" s="942"/>
      <c r="D1" s="942"/>
      <c r="E1" s="942"/>
      <c r="F1" s="942"/>
      <c r="G1" s="942"/>
      <c r="H1" s="943"/>
    </row>
    <row r="2" spans="1:12" ht="8.1" customHeight="1" thickBot="1">
      <c r="A2" s="94"/>
      <c r="B2" s="95"/>
      <c r="C2" s="95"/>
      <c r="D2" s="95"/>
      <c r="E2" s="95"/>
      <c r="F2" s="274"/>
      <c r="G2" s="274"/>
      <c r="H2" s="96"/>
    </row>
    <row r="3" spans="1:12" ht="20.100000000000001" customHeight="1">
      <c r="A3" s="944" t="s">
        <v>201</v>
      </c>
      <c r="B3" s="945"/>
      <c r="C3" s="945"/>
      <c r="D3" s="945"/>
      <c r="E3" s="946"/>
      <c r="F3" s="947" t="s">
        <v>202</v>
      </c>
      <c r="G3" s="948"/>
      <c r="H3" s="949"/>
    </row>
    <row r="4" spans="1:12" ht="20.100000000000001" customHeight="1">
      <c r="A4" s="950" t="s">
        <v>203</v>
      </c>
      <c r="B4" s="951"/>
      <c r="C4" s="951"/>
      <c r="D4" s="951"/>
      <c r="E4" s="951"/>
      <c r="F4" s="298" t="s">
        <v>140</v>
      </c>
      <c r="G4" s="952">
        <v>42402</v>
      </c>
      <c r="H4" s="953"/>
    </row>
    <row r="5" spans="1:12" ht="20.100000000000001" customHeight="1">
      <c r="A5" s="921" t="s">
        <v>204</v>
      </c>
      <c r="B5" s="922"/>
      <c r="C5" s="922"/>
      <c r="D5" s="923"/>
      <c r="E5" s="924" t="s">
        <v>141</v>
      </c>
      <c r="F5" s="925"/>
      <c r="G5" s="925"/>
      <c r="H5" s="926"/>
    </row>
    <row r="6" spans="1:12" ht="20.100000000000001" customHeight="1">
      <c r="A6" s="921" t="s">
        <v>206</v>
      </c>
      <c r="B6" s="922"/>
      <c r="C6" s="922"/>
      <c r="D6" s="923"/>
      <c r="E6" s="927" t="s">
        <v>142</v>
      </c>
      <c r="F6" s="929" t="s">
        <v>143</v>
      </c>
      <c r="G6" s="275" t="s">
        <v>144</v>
      </c>
      <c r="H6" s="97" t="s">
        <v>145</v>
      </c>
    </row>
    <row r="7" spans="1:12" ht="20.100000000000001" customHeight="1" thickBot="1">
      <c r="A7" s="931" t="s">
        <v>234</v>
      </c>
      <c r="B7" s="932"/>
      <c r="C7" s="932"/>
      <c r="D7" s="933"/>
      <c r="E7" s="928"/>
      <c r="F7" s="930"/>
      <c r="G7" s="276" t="s">
        <v>146</v>
      </c>
      <c r="H7" s="98">
        <v>0.23</v>
      </c>
    </row>
    <row r="8" spans="1:12" ht="8.1" customHeight="1" thickBot="1">
      <c r="A8" s="934"/>
      <c r="B8" s="935"/>
      <c r="C8" s="935"/>
      <c r="D8" s="935"/>
      <c r="E8" s="935"/>
      <c r="F8" s="935"/>
      <c r="G8" s="935"/>
      <c r="H8" s="936"/>
    </row>
    <row r="9" spans="1:12" ht="39" thickBot="1">
      <c r="A9" s="99" t="s">
        <v>147</v>
      </c>
      <c r="B9" s="100" t="s">
        <v>148</v>
      </c>
      <c r="C9" s="100" t="s">
        <v>149</v>
      </c>
      <c r="D9" s="100" t="s">
        <v>150</v>
      </c>
      <c r="E9" s="100" t="s">
        <v>42</v>
      </c>
      <c r="F9" s="277" t="s">
        <v>151</v>
      </c>
      <c r="G9" s="277" t="s">
        <v>152</v>
      </c>
      <c r="H9" s="101" t="s">
        <v>153</v>
      </c>
    </row>
    <row r="10" spans="1:12" ht="20.100000000000001" customHeight="1">
      <c r="A10" s="102">
        <v>1</v>
      </c>
      <c r="B10" s="103"/>
      <c r="C10" s="104" t="s">
        <v>154</v>
      </c>
      <c r="D10" s="105"/>
      <c r="E10" s="106"/>
      <c r="F10" s="278"/>
      <c r="G10" s="278"/>
      <c r="H10" s="107" t="e">
        <f>SUM(H11:H11)</f>
        <v>#VALUE!</v>
      </c>
    </row>
    <row r="11" spans="1:12" ht="20.100000000000001" customHeight="1">
      <c r="A11" s="108" t="s">
        <v>155</v>
      </c>
      <c r="B11" s="109" t="s">
        <v>247</v>
      </c>
      <c r="C11" s="110" t="s">
        <v>199</v>
      </c>
      <c r="D11" s="111" t="s">
        <v>156</v>
      </c>
      <c r="E11" s="112" t="str">
        <f>MC!B8</f>
        <v>2,00 x 1,00 =</v>
      </c>
      <c r="F11" s="279">
        <v>1159.26</v>
      </c>
      <c r="G11" s="279">
        <f>F11*$H$7+F11</f>
        <v>1425.8897999999999</v>
      </c>
      <c r="H11" s="113" t="e">
        <f>G11*E11</f>
        <v>#VALUE!</v>
      </c>
    </row>
    <row r="12" spans="1:12" ht="8.1" customHeight="1" thickBot="1">
      <c r="A12" s="114"/>
      <c r="B12" s="115"/>
      <c r="C12" s="116"/>
      <c r="D12" s="115"/>
      <c r="E12" s="115"/>
      <c r="F12" s="280"/>
      <c r="G12" s="280"/>
      <c r="H12" s="117"/>
    </row>
    <row r="13" spans="1:12" ht="20.100000000000001" customHeight="1">
      <c r="A13" s="137">
        <v>2</v>
      </c>
      <c r="B13" s="138"/>
      <c r="C13" s="297" t="s">
        <v>207</v>
      </c>
      <c r="D13" s="105"/>
      <c r="E13" s="140"/>
      <c r="F13" s="283"/>
      <c r="G13" s="283"/>
      <c r="H13" s="142">
        <f>SUM(H14:H16)</f>
        <v>2638.2418983750003</v>
      </c>
      <c r="J13" s="142">
        <f>SUM(J14:J16)</f>
        <v>18454.629410000001</v>
      </c>
      <c r="K13" s="287"/>
      <c r="L13" s="328">
        <f>J13/H13</f>
        <v>6.9950482635299487</v>
      </c>
    </row>
    <row r="14" spans="1:12" ht="20.100000000000001" customHeight="1">
      <c r="A14" s="288" t="s">
        <v>157</v>
      </c>
      <c r="B14" s="120" t="s">
        <v>209</v>
      </c>
      <c r="C14" s="121" t="s">
        <v>208</v>
      </c>
      <c r="D14" s="130" t="s">
        <v>52</v>
      </c>
      <c r="E14" s="129">
        <f>MC!B15</f>
        <v>16.3</v>
      </c>
      <c r="F14" s="281">
        <v>5.09</v>
      </c>
      <c r="G14" s="281">
        <f>F14*$H$7+F14</f>
        <v>6.2606999999999999</v>
      </c>
      <c r="H14" s="113">
        <f>G14*E14</f>
        <v>102.04941000000001</v>
      </c>
      <c r="J14" s="287">
        <f>H14</f>
        <v>102.04941000000001</v>
      </c>
    </row>
    <row r="15" spans="1:12" ht="30" customHeight="1">
      <c r="A15" s="288" t="s">
        <v>158</v>
      </c>
      <c r="B15" s="109" t="s">
        <v>210</v>
      </c>
      <c r="C15" s="132" t="s">
        <v>211</v>
      </c>
      <c r="D15" s="119" t="s">
        <v>44</v>
      </c>
      <c r="E15" s="133">
        <f>MC!E23</f>
        <v>114.10875000000001</v>
      </c>
      <c r="F15" s="281">
        <v>11.07</v>
      </c>
      <c r="G15" s="281">
        <f t="shared" ref="G15:G16" si="0">F15*$H$7+F15</f>
        <v>13.616099999999999</v>
      </c>
      <c r="H15" s="113">
        <f t="shared" ref="H15:H16" si="1">G15*E15</f>
        <v>1553.716150875</v>
      </c>
      <c r="J15" s="287">
        <v>6201.5</v>
      </c>
    </row>
    <row r="16" spans="1:12" ht="20.100000000000001" customHeight="1">
      <c r="A16" s="288" t="s">
        <v>159</v>
      </c>
      <c r="B16" s="109" t="s">
        <v>212</v>
      </c>
      <c r="C16" s="132" t="s">
        <v>213</v>
      </c>
      <c r="D16" s="119" t="s">
        <v>44</v>
      </c>
      <c r="E16" s="133">
        <f>MC!D28</f>
        <v>114.10875000000001</v>
      </c>
      <c r="F16" s="281">
        <v>7</v>
      </c>
      <c r="G16" s="281">
        <f t="shared" si="0"/>
        <v>8.61</v>
      </c>
      <c r="H16" s="113">
        <f t="shared" si="1"/>
        <v>982.47633750000011</v>
      </c>
      <c r="J16" s="287">
        <v>12151.08</v>
      </c>
    </row>
    <row r="17" spans="1:10" ht="8.1" customHeight="1" thickBot="1">
      <c r="A17" s="122"/>
      <c r="B17" s="123"/>
      <c r="C17" s="124"/>
      <c r="D17" s="125"/>
      <c r="E17" s="126"/>
      <c r="F17" s="282"/>
      <c r="G17" s="282"/>
      <c r="H17" s="127"/>
    </row>
    <row r="18" spans="1:10" ht="20.100000000000001" customHeight="1">
      <c r="A18" s="137">
        <v>3</v>
      </c>
      <c r="B18" s="138"/>
      <c r="C18" s="139" t="s">
        <v>188</v>
      </c>
      <c r="D18" s="105"/>
      <c r="E18" s="140"/>
      <c r="F18" s="283"/>
      <c r="G18" s="283"/>
      <c r="H18" s="142">
        <f>SUM(H19)</f>
        <v>952.79490000000021</v>
      </c>
    </row>
    <row r="19" spans="1:10" ht="20.100000000000001" customHeight="1">
      <c r="A19" s="288" t="s">
        <v>160</v>
      </c>
      <c r="B19" s="289" t="s">
        <v>249</v>
      </c>
      <c r="C19" s="118" t="s">
        <v>248</v>
      </c>
      <c r="D19" s="135" t="s">
        <v>44</v>
      </c>
      <c r="E19" s="299">
        <f>MC!E48</f>
        <v>20.520000000000003</v>
      </c>
      <c r="F19" s="290">
        <v>37.75</v>
      </c>
      <c r="G19" s="281">
        <f>F19*$H$7+F19</f>
        <v>46.432500000000005</v>
      </c>
      <c r="H19" s="113">
        <f t="shared" ref="H19:H20" si="2">G19*E19</f>
        <v>952.79490000000021</v>
      </c>
    </row>
    <row r="20" spans="1:10" ht="20.100000000000001" hidden="1" customHeight="1">
      <c r="A20" s="108" t="s">
        <v>161</v>
      </c>
      <c r="B20" s="134" t="s">
        <v>189</v>
      </c>
      <c r="C20" s="131" t="s">
        <v>198</v>
      </c>
      <c r="D20" s="135" t="s">
        <v>44</v>
      </c>
      <c r="E20" s="136" t="e">
        <f>MC!#REF!</f>
        <v>#REF!</v>
      </c>
      <c r="F20" s="281">
        <v>41.85</v>
      </c>
      <c r="G20" s="281">
        <f t="shared" ref="G20" si="3">F20*$H$7+F20</f>
        <v>51.475500000000004</v>
      </c>
      <c r="H20" s="113" t="e">
        <f t="shared" si="2"/>
        <v>#REF!</v>
      </c>
    </row>
    <row r="21" spans="1:10" ht="8.1" customHeight="1" thickBot="1">
      <c r="A21" s="291"/>
      <c r="B21" s="292"/>
      <c r="C21" s="293"/>
      <c r="D21" s="294"/>
      <c r="E21" s="295"/>
      <c r="F21" s="296"/>
      <c r="G21" s="296"/>
      <c r="H21" s="117"/>
    </row>
    <row r="22" spans="1:10" ht="20.100000000000001" customHeight="1">
      <c r="A22" s="143">
        <v>4</v>
      </c>
      <c r="B22" s="330"/>
      <c r="C22" s="156" t="s">
        <v>217</v>
      </c>
      <c r="D22" s="331"/>
      <c r="E22" s="332"/>
      <c r="F22" s="333"/>
      <c r="G22" s="333"/>
      <c r="H22" s="147">
        <f>SUM(H23:H24)</f>
        <v>1384.644456</v>
      </c>
    </row>
    <row r="23" spans="1:10" ht="20.100000000000001" customHeight="1">
      <c r="A23" s="148" t="s">
        <v>162</v>
      </c>
      <c r="B23" s="150" t="s">
        <v>174</v>
      </c>
      <c r="C23" s="157" t="s">
        <v>218</v>
      </c>
      <c r="D23" s="119" t="s">
        <v>44</v>
      </c>
      <c r="E23" s="136">
        <f>MC!F59</f>
        <v>41.040000000000006</v>
      </c>
      <c r="F23" s="281">
        <v>5.28</v>
      </c>
      <c r="G23" s="281">
        <f t="shared" ref="G23:G24" si="4">F23*$H$7+F23</f>
        <v>6.4944000000000006</v>
      </c>
      <c r="H23" s="113">
        <f t="shared" ref="H23:H24" si="5">G23*E23</f>
        <v>266.53017600000004</v>
      </c>
    </row>
    <row r="24" spans="1:10" ht="20.100000000000001" customHeight="1">
      <c r="A24" s="148" t="s">
        <v>163</v>
      </c>
      <c r="B24" s="150" t="s">
        <v>175</v>
      </c>
      <c r="C24" s="157" t="s">
        <v>176</v>
      </c>
      <c r="D24" s="119" t="s">
        <v>44</v>
      </c>
      <c r="E24" s="136">
        <f>MC!D64</f>
        <v>41.040000000000006</v>
      </c>
      <c r="F24" s="281">
        <v>22.15</v>
      </c>
      <c r="G24" s="281">
        <f t="shared" si="4"/>
        <v>27.244499999999999</v>
      </c>
      <c r="H24" s="113">
        <f t="shared" si="5"/>
        <v>1118.11428</v>
      </c>
    </row>
    <row r="25" spans="1:10" ht="8.1" customHeight="1" thickBot="1">
      <c r="A25" s="148"/>
      <c r="B25" s="340"/>
      <c r="C25" s="341"/>
      <c r="D25" s="342"/>
      <c r="E25" s="299"/>
      <c r="F25" s="343"/>
      <c r="G25" s="343"/>
      <c r="H25" s="334"/>
    </row>
    <row r="26" spans="1:10" ht="20.100000000000001" customHeight="1">
      <c r="A26" s="143">
        <v>5</v>
      </c>
      <c r="B26" s="144"/>
      <c r="C26" s="145" t="s">
        <v>196</v>
      </c>
      <c r="D26" s="146"/>
      <c r="E26" s="141"/>
      <c r="F26" s="283"/>
      <c r="G26" s="283"/>
      <c r="H26" s="147">
        <f>SUM(H27:H32)</f>
        <v>20342.025968850005</v>
      </c>
    </row>
    <row r="27" spans="1:10" ht="20.100000000000001" customHeight="1">
      <c r="A27" s="148" t="s">
        <v>164</v>
      </c>
      <c r="B27" s="149" t="s">
        <v>238</v>
      </c>
      <c r="C27" s="118" t="s">
        <v>239</v>
      </c>
      <c r="D27" s="151" t="s">
        <v>44</v>
      </c>
      <c r="E27" s="152">
        <f>MC!E73</f>
        <v>116.64450000000001</v>
      </c>
      <c r="F27" s="290">
        <v>55.21</v>
      </c>
      <c r="G27" s="281">
        <f t="shared" ref="G27:G31" si="6">F27*$H$7+F27</f>
        <v>67.908299999999997</v>
      </c>
      <c r="H27" s="113">
        <f t="shared" ref="H27:H31" si="7">G27*E27</f>
        <v>7921.12969935</v>
      </c>
      <c r="J27" s="328">
        <f>(H27)/H26</f>
        <v>0.38939728577083343</v>
      </c>
    </row>
    <row r="28" spans="1:10" ht="30" customHeight="1">
      <c r="A28" s="288" t="s">
        <v>165</v>
      </c>
      <c r="B28" s="109" t="s">
        <v>240</v>
      </c>
      <c r="C28" s="132" t="s">
        <v>241</v>
      </c>
      <c r="D28" s="119" t="s">
        <v>44</v>
      </c>
      <c r="E28" s="133">
        <f>MC!D78</f>
        <v>116.64450000000001</v>
      </c>
      <c r="F28" s="281">
        <v>59.7</v>
      </c>
      <c r="G28" s="281">
        <f t="shared" si="6"/>
        <v>73.431000000000012</v>
      </c>
      <c r="H28" s="113">
        <f t="shared" si="7"/>
        <v>8565.322279500002</v>
      </c>
      <c r="J28" s="287"/>
    </row>
    <row r="29" spans="1:10" ht="20.100000000000001" customHeight="1">
      <c r="A29" s="288" t="s">
        <v>190</v>
      </c>
      <c r="B29" s="149" t="s">
        <v>251</v>
      </c>
      <c r="C29" s="153" t="s">
        <v>252</v>
      </c>
      <c r="D29" s="119" t="s">
        <v>52</v>
      </c>
      <c r="E29" s="128">
        <f>MC!D90</f>
        <v>44.800000000000004</v>
      </c>
      <c r="F29" s="281">
        <v>23.23</v>
      </c>
      <c r="G29" s="281">
        <f t="shared" ref="G29" si="8">F29*$H$7+F29</f>
        <v>28.572900000000001</v>
      </c>
      <c r="H29" s="113">
        <f t="shared" ref="H29" si="9">G29*E29</f>
        <v>1280.0659200000002</v>
      </c>
    </row>
    <row r="30" spans="1:10" ht="20.100000000000001" customHeight="1">
      <c r="A30" s="288" t="s">
        <v>191</v>
      </c>
      <c r="B30" s="149" t="s">
        <v>243</v>
      </c>
      <c r="C30" s="153" t="s">
        <v>242</v>
      </c>
      <c r="D30" s="119" t="s">
        <v>52</v>
      </c>
      <c r="E30" s="128">
        <f>MC!D96</f>
        <v>16.3</v>
      </c>
      <c r="F30" s="281">
        <v>60.38</v>
      </c>
      <c r="G30" s="281">
        <f t="shared" si="6"/>
        <v>74.267400000000009</v>
      </c>
      <c r="H30" s="113">
        <f t="shared" si="7"/>
        <v>1210.5586200000002</v>
      </c>
    </row>
    <row r="31" spans="1:10" ht="20.100000000000001" customHeight="1">
      <c r="A31" s="288" t="s">
        <v>192</v>
      </c>
      <c r="B31" s="149" t="s">
        <v>172</v>
      </c>
      <c r="C31" s="154" t="s">
        <v>173</v>
      </c>
      <c r="D31" s="119" t="s">
        <v>52</v>
      </c>
      <c r="E31" s="128">
        <f>MC!D103</f>
        <v>13.5</v>
      </c>
      <c r="F31" s="281">
        <v>47.89</v>
      </c>
      <c r="G31" s="281">
        <f t="shared" si="6"/>
        <v>58.904700000000005</v>
      </c>
      <c r="H31" s="113">
        <f t="shared" si="7"/>
        <v>795.21345000000008</v>
      </c>
    </row>
    <row r="32" spans="1:10" ht="20.100000000000001" customHeight="1">
      <c r="A32" s="288" t="s">
        <v>250</v>
      </c>
      <c r="B32" s="149" t="s">
        <v>235</v>
      </c>
      <c r="C32" s="154" t="s">
        <v>236</v>
      </c>
      <c r="D32" s="119" t="s">
        <v>105</v>
      </c>
      <c r="E32" s="128">
        <v>1</v>
      </c>
      <c r="F32" s="281">
        <v>463.2</v>
      </c>
      <c r="G32" s="281">
        <f t="shared" ref="G32" si="10">F32*$H$7+F32</f>
        <v>569.73599999999999</v>
      </c>
      <c r="H32" s="113">
        <f t="shared" ref="H32" si="11">G32*E32</f>
        <v>569.73599999999999</v>
      </c>
    </row>
    <row r="33" spans="1:10" ht="8.1" customHeight="1" thickBot="1">
      <c r="A33" s="122"/>
      <c r="B33" s="123"/>
      <c r="C33" s="124"/>
      <c r="D33" s="125"/>
      <c r="E33" s="126"/>
      <c r="F33" s="282"/>
      <c r="G33" s="282"/>
      <c r="H33" s="127"/>
    </row>
    <row r="34" spans="1:10" ht="20.100000000000001" customHeight="1">
      <c r="A34" s="143">
        <v>6</v>
      </c>
      <c r="B34" s="144"/>
      <c r="C34" s="145" t="s">
        <v>216</v>
      </c>
      <c r="D34" s="146"/>
      <c r="E34" s="141"/>
      <c r="F34" s="283"/>
      <c r="G34" s="283"/>
      <c r="H34" s="147" t="e">
        <f>SUM(H35:H41)</f>
        <v>#REF!</v>
      </c>
    </row>
    <row r="35" spans="1:10" ht="20.100000000000001" customHeight="1">
      <c r="A35" s="329" t="s">
        <v>166</v>
      </c>
      <c r="B35" s="150" t="s">
        <v>214</v>
      </c>
      <c r="C35" s="157" t="s">
        <v>215</v>
      </c>
      <c r="D35" s="119" t="s">
        <v>44</v>
      </c>
      <c r="E35" s="136" t="e">
        <f>MC!#REF!+MC!#REF!</f>
        <v>#REF!</v>
      </c>
      <c r="F35" s="281">
        <v>1.69</v>
      </c>
      <c r="G35" s="281">
        <f t="shared" ref="G35:G41" si="12">F35*$H$7+F35</f>
        <v>2.0787</v>
      </c>
      <c r="H35" s="113" t="e">
        <f t="shared" ref="H35:H41" si="13">G35*E35</f>
        <v>#REF!</v>
      </c>
    </row>
    <row r="36" spans="1:10" ht="20.100000000000001" customHeight="1">
      <c r="A36" s="329" t="s">
        <v>167</v>
      </c>
      <c r="B36" s="150" t="s">
        <v>219</v>
      </c>
      <c r="C36" s="157" t="s">
        <v>221</v>
      </c>
      <c r="D36" s="119" t="s">
        <v>44</v>
      </c>
      <c r="E36" s="136" t="e">
        <f>MC!#REF!+MC!#REF!+MC!#REF!</f>
        <v>#REF!</v>
      </c>
      <c r="F36" s="281">
        <v>4.32</v>
      </c>
      <c r="G36" s="281">
        <f t="shared" si="12"/>
        <v>5.3136000000000001</v>
      </c>
      <c r="H36" s="113" t="e">
        <f t="shared" si="13"/>
        <v>#REF!</v>
      </c>
    </row>
    <row r="37" spans="1:10" ht="20.100000000000001" customHeight="1">
      <c r="A37" s="329" t="s">
        <v>168</v>
      </c>
      <c r="B37" s="150" t="s">
        <v>205</v>
      </c>
      <c r="C37" s="157" t="s">
        <v>222</v>
      </c>
      <c r="D37" s="119" t="s">
        <v>44</v>
      </c>
      <c r="E37" s="136" t="e">
        <f>MC!#REF!</f>
        <v>#REF!</v>
      </c>
      <c r="F37" s="281">
        <v>22.11</v>
      </c>
      <c r="G37" s="281">
        <f t="shared" si="12"/>
        <v>27.1953</v>
      </c>
      <c r="H37" s="113" t="e">
        <f t="shared" si="13"/>
        <v>#REF!</v>
      </c>
    </row>
    <row r="38" spans="1:10" ht="20.100000000000001" customHeight="1">
      <c r="A38" s="329" t="s">
        <v>169</v>
      </c>
      <c r="B38" s="150" t="s">
        <v>220</v>
      </c>
      <c r="C38" s="157" t="s">
        <v>223</v>
      </c>
      <c r="D38" s="119" t="s">
        <v>44</v>
      </c>
      <c r="E38" s="136" t="e">
        <f>MC!#REF!</f>
        <v>#REF!</v>
      </c>
      <c r="F38" s="281">
        <v>12.39</v>
      </c>
      <c r="G38" s="281">
        <f>F38*$H$7+F38</f>
        <v>15.239700000000001</v>
      </c>
      <c r="H38" s="113" t="e">
        <f>G38*E38</f>
        <v>#REF!</v>
      </c>
      <c r="J38" s="344"/>
    </row>
    <row r="39" spans="1:10" ht="20.100000000000001" customHeight="1">
      <c r="A39" s="329" t="s">
        <v>170</v>
      </c>
      <c r="B39" s="150" t="s">
        <v>245</v>
      </c>
      <c r="C39" s="157" t="s">
        <v>246</v>
      </c>
      <c r="D39" s="119" t="s">
        <v>44</v>
      </c>
      <c r="E39" s="136" t="e">
        <f>MC!#REF!</f>
        <v>#REF!</v>
      </c>
      <c r="F39" s="281">
        <v>9.02</v>
      </c>
      <c r="G39" s="281">
        <f t="shared" ref="G39" si="14">F39*$H$7+F39</f>
        <v>11.0946</v>
      </c>
      <c r="H39" s="113" t="e">
        <f t="shared" ref="H39" si="15">G39*E39</f>
        <v>#REF!</v>
      </c>
    </row>
    <row r="40" spans="1:10" ht="20.100000000000001" customHeight="1">
      <c r="A40" s="329" t="s">
        <v>171</v>
      </c>
      <c r="B40" s="158" t="s">
        <v>177</v>
      </c>
      <c r="C40" s="159" t="s">
        <v>178</v>
      </c>
      <c r="D40" s="155" t="s">
        <v>44</v>
      </c>
      <c r="E40" s="136" t="e">
        <f>MC!#REF!</f>
        <v>#REF!</v>
      </c>
      <c r="F40" s="281">
        <v>19.47</v>
      </c>
      <c r="G40" s="281">
        <f t="shared" si="12"/>
        <v>23.948099999999997</v>
      </c>
      <c r="H40" s="113" t="e">
        <f t="shared" si="13"/>
        <v>#REF!</v>
      </c>
    </row>
    <row r="41" spans="1:10" ht="20.100000000000001" customHeight="1">
      <c r="A41" s="329" t="s">
        <v>244</v>
      </c>
      <c r="B41" s="119" t="s">
        <v>179</v>
      </c>
      <c r="C41" s="339" t="s">
        <v>200</v>
      </c>
      <c r="D41" s="155" t="s">
        <v>44</v>
      </c>
      <c r="E41" s="136" t="e">
        <f>MC!#REF!</f>
        <v>#REF!</v>
      </c>
      <c r="F41" s="281">
        <v>15.51</v>
      </c>
      <c r="G41" s="281">
        <f t="shared" si="12"/>
        <v>19.077300000000001</v>
      </c>
      <c r="H41" s="113" t="e">
        <f t="shared" si="13"/>
        <v>#REF!</v>
      </c>
    </row>
    <row r="42" spans="1:10" ht="8.1" customHeight="1" thickBot="1">
      <c r="A42" s="122"/>
      <c r="B42" s="123"/>
      <c r="C42" s="124"/>
      <c r="D42" s="125"/>
      <c r="E42" s="126"/>
      <c r="F42" s="282"/>
      <c r="G42" s="282"/>
      <c r="H42" s="127"/>
    </row>
    <row r="43" spans="1:10" ht="15.75" thickBot="1">
      <c r="A43" s="937" t="s">
        <v>180</v>
      </c>
      <c r="B43" s="938"/>
      <c r="C43" s="938"/>
      <c r="D43" s="938"/>
      <c r="E43" s="938"/>
      <c r="F43" s="938"/>
      <c r="G43" s="938"/>
      <c r="H43" s="160" t="e">
        <f>H34+H26+H22+H18+H13+H10</f>
        <v>#REF!</v>
      </c>
    </row>
    <row r="44" spans="1:10">
      <c r="A44" s="161"/>
      <c r="B44" s="939" t="s">
        <v>253</v>
      </c>
      <c r="C44" s="939"/>
      <c r="D44" s="161"/>
      <c r="E44" s="161"/>
      <c r="F44" s="284"/>
      <c r="G44" s="284"/>
      <c r="H44" s="162"/>
    </row>
    <row r="45" spans="1:10">
      <c r="A45" s="161"/>
      <c r="B45" s="161"/>
      <c r="C45" s="161"/>
      <c r="D45" s="161"/>
      <c r="E45" s="161"/>
      <c r="F45" s="284"/>
      <c r="G45" s="284"/>
      <c r="H45" s="162"/>
    </row>
    <row r="46" spans="1:10">
      <c r="A46" s="161"/>
      <c r="B46" s="161"/>
      <c r="C46" s="161"/>
      <c r="D46" s="161"/>
      <c r="E46" s="161"/>
      <c r="F46" s="284"/>
      <c r="G46" s="284"/>
      <c r="H46" s="162"/>
    </row>
    <row r="47" spans="1:10">
      <c r="A47" s="161"/>
      <c r="B47" s="161"/>
      <c r="C47" s="161"/>
      <c r="D47" s="161"/>
      <c r="E47" s="161"/>
      <c r="F47" s="284"/>
      <c r="G47" s="284"/>
      <c r="H47" s="162"/>
    </row>
    <row r="48" spans="1:10">
      <c r="A48" s="163"/>
      <c r="B48" s="940"/>
      <c r="C48" s="940"/>
      <c r="D48" s="163"/>
      <c r="E48" s="940"/>
      <c r="F48" s="940"/>
      <c r="G48" s="285"/>
      <c r="H48" s="163"/>
    </row>
    <row r="49" spans="1:8">
      <c r="A49" s="920" t="s">
        <v>181</v>
      </c>
      <c r="B49" s="920"/>
      <c r="C49" s="920"/>
      <c r="D49" s="920"/>
      <c r="E49" s="920" t="s">
        <v>182</v>
      </c>
      <c r="F49" s="920"/>
      <c r="G49" s="920"/>
      <c r="H49" s="164"/>
    </row>
    <row r="50" spans="1:8">
      <c r="A50" s="165"/>
      <c r="B50" s="165"/>
      <c r="C50" s="165"/>
      <c r="D50" s="165"/>
      <c r="E50" s="165"/>
      <c r="F50" s="286"/>
      <c r="G50" s="286"/>
      <c r="H50" s="165"/>
    </row>
  </sheetData>
  <mergeCells count="18">
    <mergeCell ref="A1:H1"/>
    <mergeCell ref="A3:E3"/>
    <mergeCell ref="F3:H3"/>
    <mergeCell ref="A4:E4"/>
    <mergeCell ref="G4:H4"/>
    <mergeCell ref="A49:D49"/>
    <mergeCell ref="E49:G49"/>
    <mergeCell ref="A5:D5"/>
    <mergeCell ref="E5:H5"/>
    <mergeCell ref="A6:D6"/>
    <mergeCell ref="E6:E7"/>
    <mergeCell ref="F6:F7"/>
    <mergeCell ref="A7:D7"/>
    <mergeCell ref="A8:H8"/>
    <mergeCell ref="A43:G43"/>
    <mergeCell ref="B44:C44"/>
    <mergeCell ref="B48:C48"/>
    <mergeCell ref="E48:F48"/>
  </mergeCells>
  <printOptions horizontalCentered="1" verticalCentered="1"/>
  <pageMargins left="0.11811023622047245" right="0" top="0.39370078740157483" bottom="0" header="0" footer="0"/>
  <pageSetup paperSize="9" scale="66"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Q52"/>
  <sheetViews>
    <sheetView view="pageBreakPreview" topLeftCell="A4" zoomScale="60" workbookViewId="0">
      <selection activeCell="R56" sqref="R56"/>
    </sheetView>
  </sheetViews>
  <sheetFormatPr defaultRowHeight="15"/>
  <cols>
    <col min="2" max="3" width="35.7109375" customWidth="1"/>
    <col min="4" max="4" width="16.42578125" customWidth="1"/>
    <col min="5" max="7" width="5.7109375" customWidth="1"/>
    <col min="8" max="10" width="10.7109375" customWidth="1"/>
    <col min="11" max="12" width="3.7109375" customWidth="1"/>
    <col min="13" max="13" width="14.7109375" customWidth="1"/>
    <col min="14" max="14" width="2.7109375" customWidth="1"/>
    <col min="15" max="15" width="12.7109375" customWidth="1"/>
    <col min="16" max="16" width="2.7109375" customWidth="1"/>
    <col min="17" max="17" width="12.7109375" customWidth="1"/>
  </cols>
  <sheetData>
    <row r="1" spans="1:17" ht="16.5" thickBot="1">
      <c r="A1" s="1005" t="s">
        <v>288</v>
      </c>
      <c r="B1" s="1006"/>
      <c r="C1" s="1006"/>
      <c r="D1" s="1006"/>
      <c r="E1" s="1006"/>
      <c r="F1" s="1006"/>
      <c r="G1" s="1006"/>
      <c r="H1" s="1006"/>
      <c r="I1" s="1006"/>
      <c r="J1" s="1006"/>
      <c r="K1" s="1006"/>
      <c r="L1" s="1006"/>
      <c r="M1" s="1006"/>
      <c r="N1" s="1006"/>
      <c r="O1" s="1006"/>
      <c r="P1" s="1006"/>
      <c r="Q1" s="1007"/>
    </row>
    <row r="2" spans="1:17" ht="15.75" thickBot="1">
      <c r="A2" s="345"/>
      <c r="B2" s="18"/>
      <c r="C2" s="18"/>
      <c r="D2" s="18"/>
      <c r="E2" s="18"/>
      <c r="F2" s="18"/>
      <c r="G2" s="18"/>
      <c r="H2" s="18"/>
      <c r="I2" s="18"/>
      <c r="J2" s="18"/>
      <c r="K2" s="18"/>
      <c r="L2" s="18"/>
      <c r="M2" s="346"/>
      <c r="N2" s="18"/>
      <c r="O2" s="347"/>
      <c r="P2" s="18"/>
      <c r="Q2" s="348"/>
    </row>
    <row r="3" spans="1:17" ht="15.75" thickBot="1">
      <c r="A3" s="1008" t="s">
        <v>254</v>
      </c>
      <c r="B3" s="1009"/>
      <c r="C3" s="1009"/>
      <c r="D3" s="1009"/>
      <c r="E3" s="1009"/>
      <c r="F3" s="1009"/>
      <c r="G3" s="1009"/>
      <c r="H3" s="1009"/>
      <c r="I3" s="1010"/>
      <c r="J3" s="1011" t="s">
        <v>255</v>
      </c>
      <c r="K3" s="1012"/>
      <c r="L3" s="1013"/>
      <c r="M3" s="1014" t="s">
        <v>256</v>
      </c>
      <c r="N3" s="1015"/>
      <c r="O3" s="1015"/>
      <c r="P3" s="1016" t="s">
        <v>257</v>
      </c>
      <c r="Q3" s="1017"/>
    </row>
    <row r="4" spans="1:17" ht="15.75" thickBot="1">
      <c r="A4" s="1008" t="s">
        <v>258</v>
      </c>
      <c r="B4" s="1009"/>
      <c r="C4" s="1009"/>
      <c r="D4" s="1009"/>
      <c r="E4" s="1009"/>
      <c r="F4" s="1009"/>
      <c r="G4" s="1009"/>
      <c r="H4" s="1009"/>
      <c r="I4" s="1018"/>
      <c r="J4" s="1019" t="s">
        <v>259</v>
      </c>
      <c r="K4" s="1019"/>
      <c r="L4" s="1020"/>
      <c r="M4" s="1021" t="s">
        <v>260</v>
      </c>
      <c r="N4" s="1022"/>
      <c r="O4" s="1022"/>
      <c r="P4" s="1023" t="s">
        <v>260</v>
      </c>
      <c r="Q4" s="1024"/>
    </row>
    <row r="5" spans="1:17" ht="15.75" thickBot="1">
      <c r="A5" s="972" t="s">
        <v>289</v>
      </c>
      <c r="B5" s="973"/>
      <c r="C5" s="973"/>
      <c r="D5" s="973"/>
      <c r="E5" s="973"/>
      <c r="F5" s="973"/>
      <c r="G5" s="973"/>
      <c r="H5" s="973"/>
      <c r="I5" s="974"/>
      <c r="J5" s="978" t="s">
        <v>290</v>
      </c>
      <c r="K5" s="979"/>
      <c r="L5" s="979"/>
      <c r="M5" s="979"/>
      <c r="N5" s="979"/>
      <c r="O5" s="979"/>
      <c r="P5" s="979"/>
      <c r="Q5" s="980"/>
    </row>
    <row r="6" spans="1:17" ht="15.75" thickBot="1">
      <c r="A6" s="975"/>
      <c r="B6" s="976"/>
      <c r="C6" s="976"/>
      <c r="D6" s="976"/>
      <c r="E6" s="976"/>
      <c r="F6" s="976"/>
      <c r="G6" s="976"/>
      <c r="H6" s="976"/>
      <c r="I6" s="977"/>
      <c r="J6" s="981" t="s">
        <v>293</v>
      </c>
      <c r="K6" s="982"/>
      <c r="L6" s="982"/>
      <c r="M6" s="982"/>
      <c r="N6" s="982"/>
      <c r="O6" s="982"/>
      <c r="P6" s="982"/>
      <c r="Q6" s="983"/>
    </row>
    <row r="7" spans="1:17" ht="15.75" thickBot="1">
      <c r="A7" s="978" t="s">
        <v>291</v>
      </c>
      <c r="B7" s="979"/>
      <c r="C7" s="979"/>
      <c r="D7" s="979"/>
      <c r="E7" s="979"/>
      <c r="F7" s="979"/>
      <c r="G7" s="980"/>
      <c r="H7" s="984" t="s">
        <v>261</v>
      </c>
      <c r="I7" s="985"/>
      <c r="J7" s="986" t="s">
        <v>262</v>
      </c>
      <c r="K7" s="987"/>
      <c r="L7" s="986" t="s">
        <v>263</v>
      </c>
      <c r="M7" s="988"/>
      <c r="N7" s="989"/>
      <c r="O7" s="990" t="s">
        <v>264</v>
      </c>
      <c r="P7" s="989"/>
      <c r="Q7" s="349" t="s">
        <v>265</v>
      </c>
    </row>
    <row r="8" spans="1:17" ht="15.75" thickBot="1">
      <c r="A8" s="978" t="s">
        <v>292</v>
      </c>
      <c r="B8" s="979"/>
      <c r="C8" s="979"/>
      <c r="D8" s="979"/>
      <c r="E8" s="979"/>
      <c r="F8" s="979"/>
      <c r="G8" s="980"/>
      <c r="H8" s="1025">
        <v>42536</v>
      </c>
      <c r="I8" s="1026"/>
      <c r="J8" s="1027" t="e">
        <f>PLANILHA!H43</f>
        <v>#REF!</v>
      </c>
      <c r="K8" s="1027"/>
      <c r="L8" s="1028">
        <v>0</v>
      </c>
      <c r="M8" s="1027"/>
      <c r="N8" s="1029"/>
      <c r="O8" s="1030" t="e">
        <f>J8-L8</f>
        <v>#REF!</v>
      </c>
      <c r="P8" s="1031"/>
      <c r="Q8" s="350" t="e">
        <f>J8-(L8+O8)</f>
        <v>#REF!</v>
      </c>
    </row>
    <row r="9" spans="1:17" ht="15.75" thickBot="1">
      <c r="A9" s="1032" t="s">
        <v>147</v>
      </c>
      <c r="B9" s="1001" t="s">
        <v>266</v>
      </c>
      <c r="C9" s="1034"/>
      <c r="D9" s="1002"/>
      <c r="E9" s="1001" t="s">
        <v>267</v>
      </c>
      <c r="F9" s="1034"/>
      <c r="G9" s="1002"/>
      <c r="H9" s="999" t="s">
        <v>268</v>
      </c>
      <c r="I9" s="1035"/>
      <c r="J9" s="1000"/>
      <c r="K9" s="1001" t="s">
        <v>269</v>
      </c>
      <c r="L9" s="1002"/>
      <c r="M9" s="991" t="s">
        <v>270</v>
      </c>
      <c r="N9" s="993" t="s">
        <v>271</v>
      </c>
      <c r="O9" s="994"/>
      <c r="P9" s="994"/>
      <c r="Q9" s="995"/>
    </row>
    <row r="10" spans="1:17" ht="36" customHeight="1" thickBot="1">
      <c r="A10" s="1033"/>
      <c r="B10" s="996"/>
      <c r="C10" s="997"/>
      <c r="D10" s="998"/>
      <c r="E10" s="996" t="s">
        <v>272</v>
      </c>
      <c r="F10" s="997"/>
      <c r="G10" s="998"/>
      <c r="H10" s="351" t="s">
        <v>273</v>
      </c>
      <c r="I10" s="352" t="s">
        <v>274</v>
      </c>
      <c r="J10" s="352" t="s">
        <v>275</v>
      </c>
      <c r="K10" s="996"/>
      <c r="L10" s="998"/>
      <c r="M10" s="992"/>
      <c r="N10" s="999" t="s">
        <v>274</v>
      </c>
      <c r="O10" s="1000"/>
      <c r="P10" s="1001" t="s">
        <v>275</v>
      </c>
      <c r="Q10" s="1002"/>
    </row>
    <row r="11" spans="1:17">
      <c r="A11" s="353">
        <v>1</v>
      </c>
      <c r="B11" s="1003" t="str">
        <f>PLANILHA!C10</f>
        <v>INSTALAÇÕES INICIAIS DA OBRA / LOCAÇÃO</v>
      </c>
      <c r="C11" s="1003"/>
      <c r="D11" s="1003"/>
      <c r="E11" s="1003"/>
      <c r="F11" s="1003"/>
      <c r="G11" s="1003"/>
      <c r="H11" s="1003"/>
      <c r="I11" s="1003"/>
      <c r="J11" s="1003"/>
      <c r="K11" s="1003"/>
      <c r="L11" s="1003"/>
      <c r="M11" s="1003"/>
      <c r="N11" s="964" t="e">
        <f>SUM(N12:O12)</f>
        <v>#VALUE!</v>
      </c>
      <c r="O11" s="964"/>
      <c r="P11" s="964" t="e">
        <f>SUM(P12:Q12)</f>
        <v>#VALUE!</v>
      </c>
      <c r="Q11" s="1004"/>
    </row>
    <row r="12" spans="1:17" ht="24">
      <c r="A12" s="354" t="s">
        <v>155</v>
      </c>
      <c r="B12" s="1038" t="str">
        <f>PLANILHA!C11</f>
        <v xml:space="preserve">FORNECIMENTO E COLOCAÇÃO DE PLACA DE OBRA EM CHAPA GALVANIZADA (3,00 X 1,50M) </v>
      </c>
      <c r="C12" s="1038"/>
      <c r="D12" s="1038"/>
      <c r="E12" s="1039" t="str">
        <f>PLANILHA!E11</f>
        <v>2,00 x 1,00 =</v>
      </c>
      <c r="F12" s="1039"/>
      <c r="G12" s="1039"/>
      <c r="H12" s="355">
        <v>0</v>
      </c>
      <c r="I12" s="355" t="str">
        <f>E12</f>
        <v>2,00 x 1,00 =</v>
      </c>
      <c r="J12" s="355" t="e">
        <f>H12+I12</f>
        <v>#VALUE!</v>
      </c>
      <c r="K12" s="1040" t="str">
        <f>PLANILHA!D11</f>
        <v>UN</v>
      </c>
      <c r="L12" s="1041" t="s">
        <v>276</v>
      </c>
      <c r="M12" s="356">
        <f>PLANILHA!G11</f>
        <v>1425.8897999999999</v>
      </c>
      <c r="N12" s="960" t="e">
        <f>(M12*I12)</f>
        <v>#VALUE!</v>
      </c>
      <c r="O12" s="960"/>
      <c r="P12" s="960" t="e">
        <f>N12</f>
        <v>#VALUE!</v>
      </c>
      <c r="Q12" s="1042"/>
    </row>
    <row r="13" spans="1:17">
      <c r="A13" s="357"/>
      <c r="B13" s="358"/>
      <c r="C13" s="359"/>
      <c r="D13" s="360"/>
      <c r="E13" s="969"/>
      <c r="F13" s="970"/>
      <c r="G13" s="971"/>
      <c r="H13" s="355"/>
      <c r="I13" s="355"/>
      <c r="J13" s="355"/>
      <c r="K13" s="958"/>
      <c r="L13" s="959"/>
      <c r="M13" s="356"/>
      <c r="N13" s="1036"/>
      <c r="O13" s="1037"/>
      <c r="P13" s="954"/>
      <c r="Q13" s="955"/>
    </row>
    <row r="14" spans="1:17">
      <c r="A14" s="353">
        <f>PLANILHA!A13</f>
        <v>2</v>
      </c>
      <c r="B14" s="1043" t="str">
        <f>PLANILHA!C13</f>
        <v xml:space="preserve">DEMOLIÇÕES E REMOÇÕES </v>
      </c>
      <c r="C14" s="1044"/>
      <c r="D14" s="1044"/>
      <c r="E14" s="1044"/>
      <c r="F14" s="1044"/>
      <c r="G14" s="1044"/>
      <c r="H14" s="1044"/>
      <c r="I14" s="1044"/>
      <c r="J14" s="1044"/>
      <c r="K14" s="1044"/>
      <c r="L14" s="1044"/>
      <c r="M14" s="1045"/>
      <c r="N14" s="964">
        <f>SUM(N15:O17)</f>
        <v>2638.2418983750003</v>
      </c>
      <c r="O14" s="965"/>
      <c r="P14" s="964">
        <f>SUM(P15:Q17)</f>
        <v>2638.2418983750003</v>
      </c>
      <c r="Q14" s="1004"/>
    </row>
    <row r="15" spans="1:17">
      <c r="A15" s="354" t="str">
        <f>PLANILHA!A14</f>
        <v>2.1</v>
      </c>
      <c r="B15" s="966" t="str">
        <f>PLANILHA!C14</f>
        <v>REMOÇÃO DE CALHA GALVANIZADA OU PVC, INCLUSIVE AFASTAMENTO</v>
      </c>
      <c r="C15" s="967"/>
      <c r="D15" s="968"/>
      <c r="E15" s="969">
        <f>PLANILHA!E14</f>
        <v>16.3</v>
      </c>
      <c r="F15" s="970"/>
      <c r="G15" s="971"/>
      <c r="H15" s="355">
        <v>0</v>
      </c>
      <c r="I15" s="355">
        <f>E15</f>
        <v>16.3</v>
      </c>
      <c r="J15" s="355">
        <f>H15+I15</f>
        <v>16.3</v>
      </c>
      <c r="K15" s="958" t="str">
        <f>PLANILHA!D14</f>
        <v>M</v>
      </c>
      <c r="L15" s="959" t="s">
        <v>277</v>
      </c>
      <c r="M15" s="356">
        <f>PLANILHA!G14</f>
        <v>6.2606999999999999</v>
      </c>
      <c r="N15" s="960">
        <f>(M15*I15)</f>
        <v>102.04941000000001</v>
      </c>
      <c r="O15" s="960"/>
      <c r="P15" s="956">
        <f>N15</f>
        <v>102.04941000000001</v>
      </c>
      <c r="Q15" s="957"/>
    </row>
    <row r="16" spans="1:17" ht="24.95" customHeight="1">
      <c r="A16" s="354" t="str">
        <f>PLANILHA!A15</f>
        <v>2.2</v>
      </c>
      <c r="B16" s="966" t="str">
        <f>PLANILHA!C15</f>
        <v>DEMOLIÇÃO DE ENGRADAMENTO DE TELHA METÁLICA, PVC OU FIBROCIMENTO, INCLUSIVE EMPILHAMENTO</v>
      </c>
      <c r="C16" s="967"/>
      <c r="D16" s="968"/>
      <c r="E16" s="969">
        <f>PLANILHA!E15</f>
        <v>114.10875000000001</v>
      </c>
      <c r="F16" s="970"/>
      <c r="G16" s="971"/>
      <c r="H16" s="355">
        <v>0</v>
      </c>
      <c r="I16" s="355">
        <f t="shared" ref="I16:I17" si="0">E16</f>
        <v>114.10875000000001</v>
      </c>
      <c r="J16" s="355">
        <f t="shared" ref="J16:J17" si="1">H16+I16</f>
        <v>114.10875000000001</v>
      </c>
      <c r="K16" s="958" t="str">
        <f>PLANILHA!D15</f>
        <v>M²</v>
      </c>
      <c r="L16" s="959" t="s">
        <v>294</v>
      </c>
      <c r="M16" s="356">
        <f>PLANILHA!G15</f>
        <v>13.616099999999999</v>
      </c>
      <c r="N16" s="960">
        <f>(M16*I16)</f>
        <v>1553.716150875</v>
      </c>
      <c r="O16" s="960"/>
      <c r="P16" s="956">
        <f t="shared" ref="P16:P17" si="2">N16</f>
        <v>1553.716150875</v>
      </c>
      <c r="Q16" s="957"/>
    </row>
    <row r="17" spans="1:17">
      <c r="A17" s="354" t="str">
        <f>PLANILHA!A16</f>
        <v>2.3</v>
      </c>
      <c r="B17" s="966" t="str">
        <f>PLANILHA!C16</f>
        <v>REMOÇÃO DE TELHA ONDULADA DE FIBROCIMENTO, INCLUSIVE AFASTAMENTO E EMPILHAMENTO</v>
      </c>
      <c r="C17" s="967"/>
      <c r="D17" s="968"/>
      <c r="E17" s="969">
        <f>PLANILHA!E16</f>
        <v>114.10875000000001</v>
      </c>
      <c r="F17" s="970"/>
      <c r="G17" s="971"/>
      <c r="H17" s="355">
        <v>0</v>
      </c>
      <c r="I17" s="355">
        <f t="shared" si="0"/>
        <v>114.10875000000001</v>
      </c>
      <c r="J17" s="355">
        <f t="shared" si="1"/>
        <v>114.10875000000001</v>
      </c>
      <c r="K17" s="958" t="str">
        <f>PLANILHA!D16</f>
        <v>M²</v>
      </c>
      <c r="L17" s="959" t="s">
        <v>295</v>
      </c>
      <c r="M17" s="356">
        <f>PLANILHA!G16</f>
        <v>8.61</v>
      </c>
      <c r="N17" s="960">
        <f>(M17*I17)</f>
        <v>982.47633750000011</v>
      </c>
      <c r="O17" s="960"/>
      <c r="P17" s="956">
        <f t="shared" si="2"/>
        <v>982.47633750000011</v>
      </c>
      <c r="Q17" s="957"/>
    </row>
    <row r="18" spans="1:17">
      <c r="A18" s="357"/>
      <c r="B18" s="358"/>
      <c r="C18" s="359"/>
      <c r="D18" s="360"/>
      <c r="E18" s="361"/>
      <c r="F18" s="362"/>
      <c r="G18" s="363"/>
      <c r="H18" s="355"/>
      <c r="I18" s="355"/>
      <c r="J18" s="355"/>
      <c r="K18" s="364"/>
      <c r="L18" s="365"/>
      <c r="M18" s="356"/>
      <c r="N18" s="366"/>
      <c r="O18" s="367"/>
      <c r="P18" s="368"/>
      <c r="Q18" s="369"/>
    </row>
    <row r="19" spans="1:17">
      <c r="A19" s="353">
        <f>PLANILHA!A18</f>
        <v>3</v>
      </c>
      <c r="B19" s="961" t="str">
        <f>PLANILHA!C18</f>
        <v>ALVENARIAS E DIVISÕES</v>
      </c>
      <c r="C19" s="962"/>
      <c r="D19" s="962"/>
      <c r="E19" s="962"/>
      <c r="F19" s="962"/>
      <c r="G19" s="962"/>
      <c r="H19" s="962"/>
      <c r="I19" s="962"/>
      <c r="J19" s="962"/>
      <c r="K19" s="962"/>
      <c r="L19" s="962"/>
      <c r="M19" s="963"/>
      <c r="N19" s="964">
        <f>SUM(N20:O20)</f>
        <v>952.79490000000021</v>
      </c>
      <c r="O19" s="965"/>
      <c r="P19" s="964">
        <f>SUM(P20:Q20)</f>
        <v>952.79490000000021</v>
      </c>
      <c r="Q19" s="1004"/>
    </row>
    <row r="20" spans="1:17">
      <c r="A20" s="354" t="str">
        <f>PLANILHA!A19</f>
        <v>3.1</v>
      </c>
      <c r="B20" s="966" t="str">
        <f>PLANILHA!C19</f>
        <v>ALVENARIA DE TIJOLO CERÂMICO FURADO E = 15 CM, A REVESTIR</v>
      </c>
      <c r="C20" s="967"/>
      <c r="D20" s="968"/>
      <c r="E20" s="969">
        <f>PLANILHA!E19</f>
        <v>20.520000000000003</v>
      </c>
      <c r="F20" s="970"/>
      <c r="G20" s="971"/>
      <c r="H20" s="355">
        <v>0</v>
      </c>
      <c r="I20" s="355">
        <f>E20</f>
        <v>20.520000000000003</v>
      </c>
      <c r="J20" s="355">
        <f>H20+I20</f>
        <v>20.520000000000003</v>
      </c>
      <c r="K20" s="958" t="s">
        <v>44</v>
      </c>
      <c r="L20" s="959" t="s">
        <v>277</v>
      </c>
      <c r="M20" s="356">
        <f>PLANILHA!G19</f>
        <v>46.432500000000005</v>
      </c>
      <c r="N20" s="960">
        <f>(M20*I20)</f>
        <v>952.79490000000021</v>
      </c>
      <c r="O20" s="960"/>
      <c r="P20" s="956">
        <f>N20</f>
        <v>952.79490000000021</v>
      </c>
      <c r="Q20" s="957"/>
    </row>
    <row r="21" spans="1:17">
      <c r="A21" s="357"/>
      <c r="B21" s="358"/>
      <c r="C21" s="359"/>
      <c r="D21" s="360"/>
      <c r="E21" s="969"/>
      <c r="F21" s="970"/>
      <c r="G21" s="971"/>
      <c r="H21" s="355"/>
      <c r="I21" s="355"/>
      <c r="J21" s="355"/>
      <c r="K21" s="364"/>
      <c r="L21" s="365"/>
      <c r="M21" s="346"/>
      <c r="N21" s="366"/>
      <c r="O21" s="367"/>
      <c r="P21" s="368"/>
      <c r="Q21" s="369"/>
    </row>
    <row r="22" spans="1:17">
      <c r="A22" s="353">
        <f>PLANILHA!A22</f>
        <v>4</v>
      </c>
      <c r="B22" s="961" t="str">
        <f>PLANILHA!C22</f>
        <v>REVESTIMENTO</v>
      </c>
      <c r="C22" s="962"/>
      <c r="D22" s="962"/>
      <c r="E22" s="962"/>
      <c r="F22" s="962"/>
      <c r="G22" s="962"/>
      <c r="H22" s="962"/>
      <c r="I22" s="962"/>
      <c r="J22" s="962"/>
      <c r="K22" s="962"/>
      <c r="L22" s="962"/>
      <c r="M22" s="963"/>
      <c r="N22" s="964">
        <f>SUM(N23:O24)</f>
        <v>1384.644456</v>
      </c>
      <c r="O22" s="965"/>
      <c r="P22" s="964">
        <f>SUM(P23:Q24)</f>
        <v>1384.644456</v>
      </c>
      <c r="Q22" s="1004"/>
    </row>
    <row r="23" spans="1:17" ht="15" customHeight="1">
      <c r="A23" s="354" t="str">
        <f>PLANILHA!A23</f>
        <v>4.1</v>
      </c>
      <c r="B23" s="966" t="str">
        <f>PLANILHA!C23</f>
        <v>CHAPISCO DE PAREDES COM ARGAMASSA 1:3 CIMENTO E AREIA, A COLHER</v>
      </c>
      <c r="C23" s="967"/>
      <c r="D23" s="968"/>
      <c r="E23" s="969">
        <f>PLANILHA!E23</f>
        <v>41.040000000000006</v>
      </c>
      <c r="F23" s="970"/>
      <c r="G23" s="971"/>
      <c r="H23" s="355">
        <v>0</v>
      </c>
      <c r="I23" s="370">
        <f>E23</f>
        <v>41.040000000000006</v>
      </c>
      <c r="J23" s="355">
        <f>H23+I23</f>
        <v>41.040000000000006</v>
      </c>
      <c r="K23" s="958" t="s">
        <v>44</v>
      </c>
      <c r="L23" s="959" t="s">
        <v>277</v>
      </c>
      <c r="M23" s="356">
        <f>PLANILHA!G23</f>
        <v>6.4944000000000006</v>
      </c>
      <c r="N23" s="960">
        <f>(M23*I23)</f>
        <v>266.53017600000004</v>
      </c>
      <c r="O23" s="960"/>
      <c r="P23" s="956">
        <f>N23</f>
        <v>266.53017600000004</v>
      </c>
      <c r="Q23" s="957"/>
    </row>
    <row r="24" spans="1:17" ht="15" customHeight="1">
      <c r="A24" s="354" t="str">
        <f>PLANILHA!A24</f>
        <v>4.2</v>
      </c>
      <c r="B24" s="966" t="str">
        <f>PLANILHA!C24</f>
        <v>EMBOÇO COM ARGAMASSA 1:6, CIMENTO E AREIA</v>
      </c>
      <c r="C24" s="967"/>
      <c r="D24" s="968"/>
      <c r="E24" s="969">
        <f>PLANILHA!E24</f>
        <v>41.040000000000006</v>
      </c>
      <c r="F24" s="970"/>
      <c r="G24" s="971"/>
      <c r="H24" s="355">
        <v>0</v>
      </c>
      <c r="I24" s="370">
        <f>E24</f>
        <v>41.040000000000006</v>
      </c>
      <c r="J24" s="355">
        <f>H24+I24</f>
        <v>41.040000000000006</v>
      </c>
      <c r="K24" s="958" t="s">
        <v>44</v>
      </c>
      <c r="L24" s="959" t="s">
        <v>277</v>
      </c>
      <c r="M24" s="356">
        <f>PLANILHA!G24</f>
        <v>27.244499999999999</v>
      </c>
      <c r="N24" s="960">
        <f>(M24*I24)</f>
        <v>1118.11428</v>
      </c>
      <c r="O24" s="960"/>
      <c r="P24" s="956">
        <f>N24</f>
        <v>1118.11428</v>
      </c>
      <c r="Q24" s="957"/>
    </row>
    <row r="25" spans="1:17" ht="15.75" thickBot="1">
      <c r="A25" s="371"/>
      <c r="B25" s="372"/>
      <c r="C25" s="373"/>
      <c r="D25" s="373"/>
      <c r="E25" s="374"/>
      <c r="F25" s="374"/>
      <c r="G25" s="374"/>
      <c r="H25" s="374"/>
      <c r="I25" s="374"/>
      <c r="J25" s="374"/>
      <c r="K25" s="375"/>
      <c r="L25" s="375"/>
      <c r="M25" s="376"/>
      <c r="N25" s="377"/>
      <c r="O25" s="378"/>
      <c r="P25" s="379"/>
      <c r="Q25" s="380"/>
    </row>
    <row r="26" spans="1:17">
      <c r="A26" s="381">
        <f>PLANILHA!A26</f>
        <v>5</v>
      </c>
      <c r="B26" s="1046" t="str">
        <f>PLANILHA!C26</f>
        <v>COBERTURA</v>
      </c>
      <c r="C26" s="1047"/>
      <c r="D26" s="1047"/>
      <c r="E26" s="1047"/>
      <c r="F26" s="1047"/>
      <c r="G26" s="1047"/>
      <c r="H26" s="1047"/>
      <c r="I26" s="1047"/>
      <c r="J26" s="1047"/>
      <c r="K26" s="1047"/>
      <c r="L26" s="1047"/>
      <c r="M26" s="1048"/>
      <c r="N26" s="1049">
        <f>SUM(N27:O32)</f>
        <v>20342.025968850005</v>
      </c>
      <c r="O26" s="1050"/>
      <c r="P26" s="1049">
        <f>SUM(P27:Q32)</f>
        <v>20342.025968850005</v>
      </c>
      <c r="Q26" s="1051"/>
    </row>
    <row r="27" spans="1:17">
      <c r="A27" s="354" t="str">
        <f>PLANILHA!A27</f>
        <v>5.1</v>
      </c>
      <c r="B27" s="966" t="str">
        <f>PLANILHA!C27</f>
        <v>COBERTURA EM TELHA METÁLICA GALVANIZADA TRAPEZOIDAL E = 0, 50 MM, SIMPLES</v>
      </c>
      <c r="C27" s="967"/>
      <c r="D27" s="968"/>
      <c r="E27" s="969">
        <f>PLANILHA!E27</f>
        <v>116.64450000000001</v>
      </c>
      <c r="F27" s="970"/>
      <c r="G27" s="971"/>
      <c r="H27" s="355">
        <v>0</v>
      </c>
      <c r="I27" s="355">
        <f t="shared" ref="I27:I32" si="3">E27</f>
        <v>116.64450000000001</v>
      </c>
      <c r="J27" s="355">
        <f t="shared" ref="J27:J32" si="4">H27+I27</f>
        <v>116.64450000000001</v>
      </c>
      <c r="K27" s="958" t="s">
        <v>44</v>
      </c>
      <c r="L27" s="959" t="s">
        <v>277</v>
      </c>
      <c r="M27" s="356">
        <f>PLANILHA!G27</f>
        <v>67.908299999999997</v>
      </c>
      <c r="N27" s="960">
        <f t="shared" ref="N27:N32" si="5">(M27*I27)</f>
        <v>7921.12969935</v>
      </c>
      <c r="O27" s="960"/>
      <c r="P27" s="956">
        <f>N27</f>
        <v>7921.12969935</v>
      </c>
      <c r="Q27" s="957"/>
    </row>
    <row r="28" spans="1:17" ht="24.95" customHeight="1">
      <c r="A28" s="354" t="str">
        <f>PLANILHA!A28</f>
        <v>5.2</v>
      </c>
      <c r="B28" s="966" t="str">
        <f>PLANILHA!C28</f>
        <v>FORNECIMENTO, FABRICAÇÃO, TRANSPORTE E MONTAGEM DE ESTRUTURA METÁLICA PARA TELHADO SOBRE LAJE PARA TELHAS METÁLICAS</v>
      </c>
      <c r="C28" s="967"/>
      <c r="D28" s="968"/>
      <c r="E28" s="969">
        <f>PLANILHA!E28</f>
        <v>116.64450000000001</v>
      </c>
      <c r="F28" s="970"/>
      <c r="G28" s="971"/>
      <c r="H28" s="355">
        <v>0</v>
      </c>
      <c r="I28" s="355">
        <f t="shared" si="3"/>
        <v>116.64450000000001</v>
      </c>
      <c r="J28" s="355">
        <f t="shared" si="4"/>
        <v>116.64450000000001</v>
      </c>
      <c r="K28" s="958" t="s">
        <v>44</v>
      </c>
      <c r="L28" s="959" t="s">
        <v>277</v>
      </c>
      <c r="M28" s="356">
        <f>PLANILHA!G28</f>
        <v>73.431000000000012</v>
      </c>
      <c r="N28" s="960">
        <f t="shared" si="5"/>
        <v>8565.322279500002</v>
      </c>
      <c r="O28" s="960"/>
      <c r="P28" s="956">
        <f>N28</f>
        <v>8565.322279500002</v>
      </c>
      <c r="Q28" s="957"/>
    </row>
    <row r="29" spans="1:17">
      <c r="A29" s="354" t="str">
        <f>PLANILHA!A29</f>
        <v>5.3</v>
      </c>
      <c r="B29" s="966" t="str">
        <f>PLANILHA!C29</f>
        <v>FORNECIMENTO E INSTALAÇÃO DE RUFO EM CHAPA GALVANIZADA Nº. 24</v>
      </c>
      <c r="C29" s="967"/>
      <c r="D29" s="968"/>
      <c r="E29" s="969">
        <f>PLANILHA!E29</f>
        <v>44.800000000000004</v>
      </c>
      <c r="F29" s="970"/>
      <c r="G29" s="971"/>
      <c r="H29" s="355">
        <v>0</v>
      </c>
      <c r="I29" s="355">
        <f t="shared" si="3"/>
        <v>44.800000000000004</v>
      </c>
      <c r="J29" s="355">
        <f t="shared" si="4"/>
        <v>44.800000000000004</v>
      </c>
      <c r="K29" s="958" t="s">
        <v>52</v>
      </c>
      <c r="L29" s="959" t="s">
        <v>277</v>
      </c>
      <c r="M29" s="356">
        <f>PLANILHA!G29</f>
        <v>28.572900000000001</v>
      </c>
      <c r="N29" s="960">
        <f t="shared" si="5"/>
        <v>1280.0659200000002</v>
      </c>
      <c r="O29" s="960"/>
      <c r="P29" s="954">
        <f>N29</f>
        <v>1280.0659200000002</v>
      </c>
      <c r="Q29" s="955"/>
    </row>
    <row r="30" spans="1:17">
      <c r="A30" s="354" t="str">
        <f>PLANILHA!A30</f>
        <v>5.4</v>
      </c>
      <c r="B30" s="966" t="str">
        <f>PLANILHA!C30</f>
        <v>CALHA DE CHAPA GALVANIZADA Nº. 26 GSG, DESENVOLVIMENTO = 75 CM</v>
      </c>
      <c r="C30" s="967"/>
      <c r="D30" s="968"/>
      <c r="E30" s="969">
        <f>PLANILHA!E30</f>
        <v>16.3</v>
      </c>
      <c r="F30" s="970"/>
      <c r="G30" s="971"/>
      <c r="H30" s="355">
        <v>0</v>
      </c>
      <c r="I30" s="355">
        <f t="shared" si="3"/>
        <v>16.3</v>
      </c>
      <c r="J30" s="355">
        <f t="shared" si="4"/>
        <v>16.3</v>
      </c>
      <c r="K30" s="958" t="s">
        <v>52</v>
      </c>
      <c r="L30" s="959" t="s">
        <v>277</v>
      </c>
      <c r="M30" s="356">
        <f>PLANILHA!G30</f>
        <v>74.267400000000009</v>
      </c>
      <c r="N30" s="960">
        <f t="shared" si="5"/>
        <v>1210.5586200000002</v>
      </c>
      <c r="O30" s="960"/>
      <c r="P30" s="954">
        <f t="shared" ref="P30:P31" si="6">N30</f>
        <v>1210.5586200000002</v>
      </c>
      <c r="Q30" s="955"/>
    </row>
    <row r="31" spans="1:17">
      <c r="A31" s="354" t="str">
        <f>PLANILHA!A31</f>
        <v>5.5</v>
      </c>
      <c r="B31" s="966" t="str">
        <f>PLANILHA!C31</f>
        <v>CONDUTOR DE AP DO TELHADO EM TUBO PVC ESGOTO, INCLUSIVE CONEXÕES E SUPORTES, 100 MM</v>
      </c>
      <c r="C31" s="967"/>
      <c r="D31" s="968"/>
      <c r="E31" s="969">
        <f>PLANILHA!E31</f>
        <v>13.5</v>
      </c>
      <c r="F31" s="970"/>
      <c r="G31" s="971"/>
      <c r="H31" s="355">
        <v>0</v>
      </c>
      <c r="I31" s="355">
        <f t="shared" si="3"/>
        <v>13.5</v>
      </c>
      <c r="J31" s="355">
        <f t="shared" si="4"/>
        <v>13.5</v>
      </c>
      <c r="K31" s="958" t="s">
        <v>52</v>
      </c>
      <c r="L31" s="959" t="s">
        <v>277</v>
      </c>
      <c r="M31" s="356">
        <f>PLANILHA!G31</f>
        <v>58.904700000000005</v>
      </c>
      <c r="N31" s="960">
        <f t="shared" si="5"/>
        <v>795.21345000000008</v>
      </c>
      <c r="O31" s="960"/>
      <c r="P31" s="954">
        <f t="shared" si="6"/>
        <v>795.21345000000008</v>
      </c>
      <c r="Q31" s="955"/>
    </row>
    <row r="32" spans="1:17" ht="15" customHeight="1">
      <c r="A32" s="354" t="str">
        <f>PLANILHA!A32</f>
        <v>5.6</v>
      </c>
      <c r="B32" s="966" t="str">
        <f>PLANILHA!C32</f>
        <v xml:space="preserve">CAIXA DÁGUA DE POLIETILENO COM TAMPA 1000 L </v>
      </c>
      <c r="C32" s="967"/>
      <c r="D32" s="968"/>
      <c r="E32" s="969">
        <f>PLANILHA!E32</f>
        <v>1</v>
      </c>
      <c r="F32" s="970"/>
      <c r="G32" s="971"/>
      <c r="H32" s="355">
        <v>0</v>
      </c>
      <c r="I32" s="355">
        <f t="shared" si="3"/>
        <v>1</v>
      </c>
      <c r="J32" s="355">
        <f t="shared" si="4"/>
        <v>1</v>
      </c>
      <c r="K32" s="958" t="str">
        <f>PLANILHA!D32</f>
        <v>UNID</v>
      </c>
      <c r="L32" s="959" t="s">
        <v>294</v>
      </c>
      <c r="M32" s="356">
        <f>PLANILHA!G32</f>
        <v>569.73599999999999</v>
      </c>
      <c r="N32" s="960">
        <f t="shared" si="5"/>
        <v>569.73599999999999</v>
      </c>
      <c r="O32" s="960"/>
      <c r="P32" s="954">
        <f t="shared" ref="P32" si="7">N32</f>
        <v>569.73599999999999</v>
      </c>
      <c r="Q32" s="955"/>
    </row>
    <row r="33" spans="1:17">
      <c r="A33" s="384"/>
      <c r="B33" s="385"/>
      <c r="C33" s="386"/>
      <c r="D33" s="387"/>
      <c r="E33" s="388"/>
      <c r="F33" s="389"/>
      <c r="G33" s="390"/>
      <c r="H33" s="382"/>
      <c r="I33" s="382"/>
      <c r="J33" s="382"/>
      <c r="K33" s="391"/>
      <c r="L33" s="392"/>
      <c r="M33" s="383"/>
      <c r="N33" s="393"/>
      <c r="O33" s="394"/>
      <c r="P33" s="395"/>
      <c r="Q33" s="396"/>
    </row>
    <row r="34" spans="1:17" s="413" customFormat="1">
      <c r="A34" s="353">
        <f>PLANILHA!A34</f>
        <v>6</v>
      </c>
      <c r="B34" s="961" t="str">
        <f>PLANILHA!C34</f>
        <v xml:space="preserve">PINTURA </v>
      </c>
      <c r="C34" s="962"/>
      <c r="D34" s="962"/>
      <c r="E34" s="962"/>
      <c r="F34" s="962"/>
      <c r="G34" s="962"/>
      <c r="H34" s="962"/>
      <c r="I34" s="962"/>
      <c r="J34" s="962"/>
      <c r="K34" s="962"/>
      <c r="L34" s="962"/>
      <c r="M34" s="963"/>
      <c r="N34" s="964" t="e">
        <f>SUM(N35:O41)</f>
        <v>#REF!</v>
      </c>
      <c r="O34" s="965"/>
      <c r="P34" s="964" t="e">
        <f>SUM(P35:Q41)</f>
        <v>#REF!</v>
      </c>
      <c r="Q34" s="1004"/>
    </row>
    <row r="35" spans="1:17">
      <c r="A35" s="357" t="str">
        <f>PLANILHA!A35</f>
        <v>6.1</v>
      </c>
      <c r="B35" s="966" t="str">
        <f>PLANILHA!C35</f>
        <v>LIXAMENTO DE PINTURA DE PAREDE</v>
      </c>
      <c r="C35" s="967"/>
      <c r="D35" s="968"/>
      <c r="E35" s="969" t="e">
        <f>PLANILHA!E35</f>
        <v>#REF!</v>
      </c>
      <c r="F35" s="970"/>
      <c r="G35" s="971"/>
      <c r="H35" s="355">
        <v>0</v>
      </c>
      <c r="I35" s="355" t="e">
        <f>E35</f>
        <v>#REF!</v>
      </c>
      <c r="J35" s="355" t="e">
        <f t="shared" ref="J35:J41" si="8">H35+I35</f>
        <v>#REF!</v>
      </c>
      <c r="K35" s="958" t="str">
        <f>PLANILHA!D35</f>
        <v>M²</v>
      </c>
      <c r="L35" s="959"/>
      <c r="M35" s="356">
        <f>PLANILHA!G35</f>
        <v>2.0787</v>
      </c>
      <c r="N35" s="960" t="e">
        <f t="shared" ref="N35:N41" si="9">(M35*I35)</f>
        <v>#REF!</v>
      </c>
      <c r="O35" s="960"/>
      <c r="P35" s="954" t="e">
        <f>N35</f>
        <v>#REF!</v>
      </c>
      <c r="Q35" s="955"/>
    </row>
    <row r="36" spans="1:17">
      <c r="A36" s="357" t="str">
        <f>PLANILHA!A36</f>
        <v>6.2</v>
      </c>
      <c r="B36" s="966" t="str">
        <f>PLANILHA!C36</f>
        <v>PREPARAÇÃO PARA PINTURA EM PAREDES E TETOS, PVA/ACRÍLICA COM FUNDO SELADOR</v>
      </c>
      <c r="C36" s="967"/>
      <c r="D36" s="968"/>
      <c r="E36" s="969" t="e">
        <f>PLANILHA!E36</f>
        <v>#REF!</v>
      </c>
      <c r="F36" s="970"/>
      <c r="G36" s="971"/>
      <c r="H36" s="355">
        <v>0</v>
      </c>
      <c r="I36" s="355" t="e">
        <f t="shared" ref="I36:I41" si="10">E36</f>
        <v>#REF!</v>
      </c>
      <c r="J36" s="355" t="e">
        <f t="shared" si="8"/>
        <v>#REF!</v>
      </c>
      <c r="K36" s="958" t="str">
        <f>PLANILHA!D36</f>
        <v>M²</v>
      </c>
      <c r="L36" s="959"/>
      <c r="M36" s="356">
        <f>PLANILHA!G36</f>
        <v>5.3136000000000001</v>
      </c>
      <c r="N36" s="960" t="e">
        <f t="shared" si="9"/>
        <v>#REF!</v>
      </c>
      <c r="O36" s="960"/>
      <c r="P36" s="954" t="e">
        <f t="shared" ref="P36:P41" si="11">N36</f>
        <v>#REF!</v>
      </c>
      <c r="Q36" s="955"/>
    </row>
    <row r="37" spans="1:17">
      <c r="A37" s="357" t="str">
        <f>PLANILHA!A37</f>
        <v>6.3</v>
      </c>
      <c r="B37" s="966" t="str">
        <f>PLANILHA!C37</f>
        <v>PINTURA ACRÍLICA COM EMASSAMENTO COR BRANCA</v>
      </c>
      <c r="C37" s="967"/>
      <c r="D37" s="968"/>
      <c r="E37" s="969" t="e">
        <f>PLANILHA!E37</f>
        <v>#REF!</v>
      </c>
      <c r="F37" s="970"/>
      <c r="G37" s="971"/>
      <c r="H37" s="355">
        <v>0</v>
      </c>
      <c r="I37" s="355" t="e">
        <f t="shared" si="10"/>
        <v>#REF!</v>
      </c>
      <c r="J37" s="355" t="e">
        <f t="shared" si="8"/>
        <v>#REF!</v>
      </c>
      <c r="K37" s="958" t="str">
        <f>PLANILHA!D37</f>
        <v>M²</v>
      </c>
      <c r="L37" s="959"/>
      <c r="M37" s="356">
        <f>PLANILHA!G37</f>
        <v>27.1953</v>
      </c>
      <c r="N37" s="960" t="e">
        <f t="shared" si="9"/>
        <v>#REF!</v>
      </c>
      <c r="O37" s="960"/>
      <c r="P37" s="954" t="e">
        <f t="shared" si="11"/>
        <v>#REF!</v>
      </c>
      <c r="Q37" s="955"/>
    </row>
    <row r="38" spans="1:17">
      <c r="A38" s="357" t="str">
        <f>PLANILHA!A38</f>
        <v>6.4</v>
      </c>
      <c r="B38" s="966" t="str">
        <f>PLANILHA!C38</f>
        <v xml:space="preserve">PINTURA ACRÍLICA VERDE, REF.: 10GY71/180, "CAPIM - LIMÃO" CORAL SOBRE TEXTURA </v>
      </c>
      <c r="C38" s="967"/>
      <c r="D38" s="968"/>
      <c r="E38" s="969" t="e">
        <f>PLANILHA!E38</f>
        <v>#REF!</v>
      </c>
      <c r="F38" s="970"/>
      <c r="G38" s="971"/>
      <c r="H38" s="355">
        <v>0</v>
      </c>
      <c r="I38" s="355" t="e">
        <f t="shared" si="10"/>
        <v>#REF!</v>
      </c>
      <c r="J38" s="355" t="e">
        <f t="shared" si="8"/>
        <v>#REF!</v>
      </c>
      <c r="K38" s="958" t="str">
        <f>PLANILHA!D38</f>
        <v>M²</v>
      </c>
      <c r="L38" s="959"/>
      <c r="M38" s="356">
        <f>PLANILHA!G38</f>
        <v>15.239700000000001</v>
      </c>
      <c r="N38" s="960" t="e">
        <f t="shared" si="9"/>
        <v>#REF!</v>
      </c>
      <c r="O38" s="960"/>
      <c r="P38" s="954" t="e">
        <f t="shared" si="11"/>
        <v>#REF!</v>
      </c>
      <c r="Q38" s="955"/>
    </row>
    <row r="39" spans="1:17">
      <c r="A39" s="357" t="str">
        <f>PLANILHA!A39</f>
        <v>6.5</v>
      </c>
      <c r="B39" s="966" t="str">
        <f>PLANILHA!C39</f>
        <v>PINTURA LÁTEX PVA, EM TETOS, 2 DEMÃOS SEM MASSA CORRIDA, EXCLUSIVE FUNDO SELADOR</v>
      </c>
      <c r="C39" s="967"/>
      <c r="D39" s="968"/>
      <c r="E39" s="969" t="e">
        <f>PLANILHA!E39</f>
        <v>#REF!</v>
      </c>
      <c r="F39" s="970"/>
      <c r="G39" s="971"/>
      <c r="H39" s="355">
        <v>0</v>
      </c>
      <c r="I39" s="355" t="e">
        <f t="shared" si="10"/>
        <v>#REF!</v>
      </c>
      <c r="J39" s="355" t="e">
        <f t="shared" si="8"/>
        <v>#REF!</v>
      </c>
      <c r="K39" s="958" t="str">
        <f>PLANILHA!D39</f>
        <v>M²</v>
      </c>
      <c r="L39" s="959"/>
      <c r="M39" s="356">
        <f>PLANILHA!G39</f>
        <v>11.0946</v>
      </c>
      <c r="N39" s="960" t="e">
        <f t="shared" si="9"/>
        <v>#REF!</v>
      </c>
      <c r="O39" s="960"/>
      <c r="P39" s="954" t="e">
        <f t="shared" si="11"/>
        <v>#REF!</v>
      </c>
      <c r="Q39" s="955"/>
    </row>
    <row r="40" spans="1:17">
      <c r="A40" s="357" t="str">
        <f>PLANILHA!A40</f>
        <v>6.6</v>
      </c>
      <c r="B40" s="966" t="str">
        <f>PLANILHA!C40</f>
        <v>PINTURA ÓLEO/ESMALTE, 2 DEMÃOS EM ESQUADRIAS DE FERRO</v>
      </c>
      <c r="C40" s="967"/>
      <c r="D40" s="968"/>
      <c r="E40" s="969" t="e">
        <f>PLANILHA!E40</f>
        <v>#REF!</v>
      </c>
      <c r="F40" s="970"/>
      <c r="G40" s="971"/>
      <c r="H40" s="355">
        <v>0</v>
      </c>
      <c r="I40" s="355" t="e">
        <f t="shared" si="10"/>
        <v>#REF!</v>
      </c>
      <c r="J40" s="355" t="e">
        <f t="shared" si="8"/>
        <v>#REF!</v>
      </c>
      <c r="K40" s="958" t="str">
        <f>PLANILHA!D40</f>
        <v>M²</v>
      </c>
      <c r="L40" s="959"/>
      <c r="M40" s="356">
        <f>PLANILHA!G40</f>
        <v>23.948099999999997</v>
      </c>
      <c r="N40" s="960" t="e">
        <f t="shared" si="9"/>
        <v>#REF!</v>
      </c>
      <c r="O40" s="960"/>
      <c r="P40" s="954" t="e">
        <f t="shared" si="11"/>
        <v>#REF!</v>
      </c>
      <c r="Q40" s="955"/>
    </row>
    <row r="41" spans="1:17" ht="15" customHeight="1">
      <c r="A41" s="357" t="str">
        <f>PLANILHA!A41</f>
        <v>6.7</v>
      </c>
      <c r="B41" s="966" t="str">
        <f>PLANILHA!C41</f>
        <v>PINTURA ÓLEO/ESMALTE, 2 DEMÃOS EM ESQUADRIA MADEIRA SEM MASSA</v>
      </c>
      <c r="C41" s="967"/>
      <c r="D41" s="968"/>
      <c r="E41" s="969" t="e">
        <f>PLANILHA!E41</f>
        <v>#REF!</v>
      </c>
      <c r="F41" s="970"/>
      <c r="G41" s="971"/>
      <c r="H41" s="355">
        <v>0</v>
      </c>
      <c r="I41" s="355" t="e">
        <f t="shared" si="10"/>
        <v>#REF!</v>
      </c>
      <c r="J41" s="355" t="e">
        <f t="shared" si="8"/>
        <v>#REF!</v>
      </c>
      <c r="K41" s="958" t="str">
        <f>PLANILHA!D41</f>
        <v>M²</v>
      </c>
      <c r="L41" s="959"/>
      <c r="M41" s="356">
        <f>PLANILHA!G41</f>
        <v>19.077300000000001</v>
      </c>
      <c r="N41" s="960" t="e">
        <f t="shared" si="9"/>
        <v>#REF!</v>
      </c>
      <c r="O41" s="960"/>
      <c r="P41" s="954" t="e">
        <f t="shared" si="11"/>
        <v>#REF!</v>
      </c>
      <c r="Q41" s="955"/>
    </row>
    <row r="42" spans="1:17">
      <c r="A42" s="357"/>
      <c r="B42" s="966"/>
      <c r="C42" s="967"/>
      <c r="D42" s="968"/>
      <c r="E42" s="969"/>
      <c r="F42" s="970"/>
      <c r="G42" s="971"/>
      <c r="H42" s="355"/>
      <c r="I42" s="355"/>
      <c r="J42" s="355"/>
      <c r="K42" s="958"/>
      <c r="L42" s="959"/>
      <c r="M42" s="356"/>
      <c r="N42" s="960"/>
      <c r="O42" s="960"/>
      <c r="P42" s="954"/>
      <c r="Q42" s="955"/>
    </row>
    <row r="43" spans="1:17" ht="15.75" thickBot="1">
      <c r="A43" s="1082"/>
      <c r="B43" s="1083"/>
      <c r="C43" s="1083"/>
      <c r="D43" s="1083"/>
      <c r="E43" s="1083"/>
      <c r="F43" s="1083"/>
      <c r="G43" s="1083"/>
      <c r="H43" s="1083"/>
      <c r="I43" s="1083"/>
      <c r="J43" s="1083"/>
      <c r="K43" s="1083"/>
      <c r="L43" s="1083"/>
      <c r="M43" s="1083"/>
      <c r="N43" s="1083"/>
      <c r="O43" s="1083"/>
      <c r="P43" s="1083"/>
      <c r="Q43" s="1084"/>
    </row>
    <row r="44" spans="1:17">
      <c r="A44" s="1085" t="s">
        <v>278</v>
      </c>
      <c r="B44" s="1086"/>
      <c r="C44" s="1086"/>
      <c r="D44" s="1086"/>
      <c r="E44" s="1086"/>
      <c r="F44" s="1086"/>
      <c r="G44" s="1086"/>
      <c r="H44" s="1086"/>
      <c r="I44" s="1087"/>
      <c r="J44" s="1091" t="s">
        <v>279</v>
      </c>
      <c r="K44" s="1091"/>
      <c r="L44" s="1091"/>
      <c r="M44" s="1092"/>
      <c r="N44" s="1095" t="e">
        <f>P44</f>
        <v>#REF!</v>
      </c>
      <c r="O44" s="1096"/>
      <c r="P44" s="1095" t="e">
        <f>P34+P26+P22+P19+P14+P11</f>
        <v>#REF!</v>
      </c>
      <c r="Q44" s="1099"/>
    </row>
    <row r="45" spans="1:17" ht="15.75" thickBot="1">
      <c r="A45" s="1088"/>
      <c r="B45" s="1089"/>
      <c r="C45" s="1089"/>
      <c r="D45" s="1089"/>
      <c r="E45" s="1089"/>
      <c r="F45" s="1089"/>
      <c r="G45" s="1089"/>
      <c r="H45" s="1089"/>
      <c r="I45" s="1090"/>
      <c r="J45" s="1093"/>
      <c r="K45" s="1093"/>
      <c r="L45" s="1093"/>
      <c r="M45" s="1094"/>
      <c r="N45" s="1097"/>
      <c r="O45" s="1098"/>
      <c r="P45" s="1097"/>
      <c r="Q45" s="1100"/>
    </row>
    <row r="46" spans="1:17">
      <c r="A46" s="1052" t="s">
        <v>280</v>
      </c>
      <c r="B46" s="1053"/>
      <c r="C46" s="1054"/>
      <c r="D46" s="1052" t="s">
        <v>281</v>
      </c>
      <c r="E46" s="1053"/>
      <c r="F46" s="1054"/>
      <c r="G46" s="1055" t="s">
        <v>282</v>
      </c>
      <c r="H46" s="1056"/>
      <c r="I46" s="1057"/>
      <c r="J46" s="1058" t="s">
        <v>283</v>
      </c>
      <c r="K46" s="1059"/>
      <c r="L46" s="1059"/>
      <c r="M46" s="1060"/>
      <c r="N46" s="1061" t="s">
        <v>296</v>
      </c>
      <c r="O46" s="1062"/>
      <c r="P46" s="1062"/>
      <c r="Q46" s="1063"/>
    </row>
    <row r="47" spans="1:17">
      <c r="A47" s="397"/>
      <c r="B47" s="398"/>
      <c r="C47" s="348"/>
      <c r="D47" s="1070" t="s">
        <v>283</v>
      </c>
      <c r="E47" s="1071"/>
      <c r="F47" s="1072"/>
      <c r="G47" s="1073"/>
      <c r="H47" s="1074"/>
      <c r="I47" s="1075"/>
      <c r="J47" s="1058"/>
      <c r="K47" s="1059"/>
      <c r="L47" s="1059"/>
      <c r="M47" s="1060"/>
      <c r="N47" s="1064"/>
      <c r="O47" s="1065"/>
      <c r="P47" s="1065"/>
      <c r="Q47" s="1066"/>
    </row>
    <row r="48" spans="1:17">
      <c r="A48" s="397"/>
      <c r="B48" s="398"/>
      <c r="C48" s="348"/>
      <c r="D48" s="399"/>
      <c r="E48" s="400"/>
      <c r="F48" s="401"/>
      <c r="G48" s="402"/>
      <c r="H48" s="403"/>
      <c r="I48" s="404"/>
      <c r="J48" s="405"/>
      <c r="K48" s="406"/>
      <c r="L48" s="406"/>
      <c r="M48" s="407"/>
      <c r="N48" s="1064"/>
      <c r="O48" s="1065"/>
      <c r="P48" s="1065"/>
      <c r="Q48" s="1066"/>
    </row>
    <row r="49" spans="1:17">
      <c r="A49" s="397"/>
      <c r="B49" s="398"/>
      <c r="C49" s="348"/>
      <c r="D49" s="399"/>
      <c r="E49" s="400"/>
      <c r="F49" s="401"/>
      <c r="G49" s="402"/>
      <c r="H49" s="403"/>
      <c r="I49" s="404"/>
      <c r="J49" s="405"/>
      <c r="K49" s="406"/>
      <c r="L49" s="406"/>
      <c r="M49" s="407"/>
      <c r="N49" s="1064"/>
      <c r="O49" s="1065"/>
      <c r="P49" s="1065"/>
      <c r="Q49" s="1066"/>
    </row>
    <row r="50" spans="1:17">
      <c r="A50" s="397"/>
      <c r="B50" s="398"/>
      <c r="C50" s="348"/>
      <c r="D50" s="399"/>
      <c r="E50" s="400"/>
      <c r="F50" s="401"/>
      <c r="G50" s="402"/>
      <c r="H50" s="403"/>
      <c r="I50" s="404"/>
      <c r="J50" s="405"/>
      <c r="K50" s="406"/>
      <c r="L50" s="406"/>
      <c r="M50" s="407"/>
      <c r="N50" s="1064"/>
      <c r="O50" s="1065"/>
      <c r="P50" s="1065"/>
      <c r="Q50" s="1066"/>
    </row>
    <row r="51" spans="1:17">
      <c r="A51" s="408"/>
      <c r="B51" s="409"/>
      <c r="C51" s="410"/>
      <c r="D51" s="411"/>
      <c r="E51" s="412"/>
      <c r="F51" s="410"/>
      <c r="G51" s="1076"/>
      <c r="H51" s="1077"/>
      <c r="I51" s="1078"/>
      <c r="J51" s="1076"/>
      <c r="K51" s="1077"/>
      <c r="L51" s="1077"/>
      <c r="M51" s="1078"/>
      <c r="N51" s="1064"/>
      <c r="O51" s="1065"/>
      <c r="P51" s="1065"/>
      <c r="Q51" s="1066"/>
    </row>
    <row r="52" spans="1:17" ht="15.75" thickBot="1">
      <c r="A52" s="1079" t="s">
        <v>284</v>
      </c>
      <c r="B52" s="1080"/>
      <c r="C52" s="1081"/>
      <c r="D52" s="1079" t="s">
        <v>285</v>
      </c>
      <c r="E52" s="1080"/>
      <c r="F52" s="1081"/>
      <c r="G52" s="1079" t="s">
        <v>286</v>
      </c>
      <c r="H52" s="1080"/>
      <c r="I52" s="1081"/>
      <c r="J52" s="1079" t="s">
        <v>287</v>
      </c>
      <c r="K52" s="1080"/>
      <c r="L52" s="1080"/>
      <c r="M52" s="1081"/>
      <c r="N52" s="1067"/>
      <c r="O52" s="1068"/>
      <c r="P52" s="1068"/>
      <c r="Q52" s="1069"/>
    </row>
  </sheetData>
  <mergeCells count="179">
    <mergeCell ref="A43:Q43"/>
    <mergeCell ref="A44:I45"/>
    <mergeCell ref="J44:M45"/>
    <mergeCell ref="N44:O45"/>
    <mergeCell ref="P44:Q45"/>
    <mergeCell ref="N17:O17"/>
    <mergeCell ref="P17:Q17"/>
    <mergeCell ref="B20:D20"/>
    <mergeCell ref="B28:D28"/>
    <mergeCell ref="B29:D29"/>
    <mergeCell ref="B30:D30"/>
    <mergeCell ref="B42:D42"/>
    <mergeCell ref="E42:G42"/>
    <mergeCell ref="K42:L42"/>
    <mergeCell ref="N42:O42"/>
    <mergeCell ref="P42:Q42"/>
    <mergeCell ref="B36:D36"/>
    <mergeCell ref="B37:D37"/>
    <mergeCell ref="B38:D38"/>
    <mergeCell ref="B39:D39"/>
    <mergeCell ref="B40:D40"/>
    <mergeCell ref="B41:D41"/>
    <mergeCell ref="E37:G37"/>
    <mergeCell ref="E38:G38"/>
    <mergeCell ref="A46:C46"/>
    <mergeCell ref="D46:F46"/>
    <mergeCell ref="G46:I46"/>
    <mergeCell ref="J46:M46"/>
    <mergeCell ref="N46:Q52"/>
    <mergeCell ref="D47:F47"/>
    <mergeCell ref="G47:I47"/>
    <mergeCell ref="J47:M47"/>
    <mergeCell ref="G51:I51"/>
    <mergeCell ref="J51:M51"/>
    <mergeCell ref="A52:C52"/>
    <mergeCell ref="D52:F52"/>
    <mergeCell ref="G52:I52"/>
    <mergeCell ref="J52:M52"/>
    <mergeCell ref="E39:G39"/>
    <mergeCell ref="E40:G40"/>
    <mergeCell ref="E41:G41"/>
    <mergeCell ref="K37:L37"/>
    <mergeCell ref="K38:L38"/>
    <mergeCell ref="P27:Q27"/>
    <mergeCell ref="B24:D24"/>
    <mergeCell ref="E24:G24"/>
    <mergeCell ref="K24:L24"/>
    <mergeCell ref="N24:O24"/>
    <mergeCell ref="P24:Q24"/>
    <mergeCell ref="B34:M34"/>
    <mergeCell ref="N34:O34"/>
    <mergeCell ref="P34:Q34"/>
    <mergeCell ref="B31:D31"/>
    <mergeCell ref="B32:D32"/>
    <mergeCell ref="E32:G32"/>
    <mergeCell ref="K32:L32"/>
    <mergeCell ref="N32:O32"/>
    <mergeCell ref="P32:Q32"/>
    <mergeCell ref="E28:G28"/>
    <mergeCell ref="E29:G29"/>
    <mergeCell ref="E30:G30"/>
    <mergeCell ref="E31:G31"/>
    <mergeCell ref="P22:Q22"/>
    <mergeCell ref="B23:D23"/>
    <mergeCell ref="E23:G23"/>
    <mergeCell ref="K23:L23"/>
    <mergeCell ref="N23:O23"/>
    <mergeCell ref="P23:Q23"/>
    <mergeCell ref="E21:G21"/>
    <mergeCell ref="B26:M26"/>
    <mergeCell ref="N26:O26"/>
    <mergeCell ref="P26:Q26"/>
    <mergeCell ref="P19:Q19"/>
    <mergeCell ref="E20:G20"/>
    <mergeCell ref="K20:L20"/>
    <mergeCell ref="N20:O20"/>
    <mergeCell ref="P20:Q20"/>
    <mergeCell ref="B14:M14"/>
    <mergeCell ref="N14:O14"/>
    <mergeCell ref="P14:Q14"/>
    <mergeCell ref="B15:D15"/>
    <mergeCell ref="E15:G15"/>
    <mergeCell ref="K15:L15"/>
    <mergeCell ref="N15:O15"/>
    <mergeCell ref="P15:Q15"/>
    <mergeCell ref="E16:G16"/>
    <mergeCell ref="K16:L16"/>
    <mergeCell ref="P16:Q16"/>
    <mergeCell ref="B16:D16"/>
    <mergeCell ref="B17:D17"/>
    <mergeCell ref="E17:G17"/>
    <mergeCell ref="K17:L17"/>
    <mergeCell ref="E13:G13"/>
    <mergeCell ref="K13:L13"/>
    <mergeCell ref="N13:O13"/>
    <mergeCell ref="P13:Q13"/>
    <mergeCell ref="B12:D12"/>
    <mergeCell ref="E12:G12"/>
    <mergeCell ref="K12:L12"/>
    <mergeCell ref="N12:O12"/>
    <mergeCell ref="P12:Q12"/>
    <mergeCell ref="A8:G8"/>
    <mergeCell ref="H8:I8"/>
    <mergeCell ref="J8:K8"/>
    <mergeCell ref="L8:N8"/>
    <mergeCell ref="O8:P8"/>
    <mergeCell ref="A9:A10"/>
    <mergeCell ref="B9:D10"/>
    <mergeCell ref="E9:G9"/>
    <mergeCell ref="H9:J9"/>
    <mergeCell ref="K9:L10"/>
    <mergeCell ref="A1:Q1"/>
    <mergeCell ref="A3:I3"/>
    <mergeCell ref="J3:L3"/>
    <mergeCell ref="M3:O3"/>
    <mergeCell ref="P3:Q3"/>
    <mergeCell ref="A4:I4"/>
    <mergeCell ref="J4:L4"/>
    <mergeCell ref="M4:O4"/>
    <mergeCell ref="P4:Q4"/>
    <mergeCell ref="K29:L29"/>
    <mergeCell ref="K30:L30"/>
    <mergeCell ref="K31:L31"/>
    <mergeCell ref="E36:G36"/>
    <mergeCell ref="K36:L36"/>
    <mergeCell ref="E35:G35"/>
    <mergeCell ref="K35:L35"/>
    <mergeCell ref="K39:L39"/>
    <mergeCell ref="A5:I6"/>
    <mergeCell ref="J5:Q5"/>
    <mergeCell ref="J6:Q6"/>
    <mergeCell ref="A7:G7"/>
    <mergeCell ref="H7:I7"/>
    <mergeCell ref="J7:K7"/>
    <mergeCell ref="L7:N7"/>
    <mergeCell ref="O7:P7"/>
    <mergeCell ref="M9:M10"/>
    <mergeCell ref="N9:Q9"/>
    <mergeCell ref="E10:G10"/>
    <mergeCell ref="N10:O10"/>
    <mergeCell ref="P10:Q10"/>
    <mergeCell ref="B11:M11"/>
    <mergeCell ref="N11:O11"/>
    <mergeCell ref="P11:Q11"/>
    <mergeCell ref="K40:L40"/>
    <mergeCell ref="K41:L41"/>
    <mergeCell ref="N16:O16"/>
    <mergeCell ref="N28:O28"/>
    <mergeCell ref="N29:O29"/>
    <mergeCell ref="N30:O30"/>
    <mergeCell ref="N31:O31"/>
    <mergeCell ref="N36:O36"/>
    <mergeCell ref="N37:O37"/>
    <mergeCell ref="N38:O38"/>
    <mergeCell ref="N39:O39"/>
    <mergeCell ref="N40:O40"/>
    <mergeCell ref="N41:O41"/>
    <mergeCell ref="B19:M19"/>
    <mergeCell ref="N19:O19"/>
    <mergeCell ref="B22:M22"/>
    <mergeCell ref="N22:O22"/>
    <mergeCell ref="B27:D27"/>
    <mergeCell ref="E27:G27"/>
    <mergeCell ref="K27:L27"/>
    <mergeCell ref="N27:O27"/>
    <mergeCell ref="B35:D35"/>
    <mergeCell ref="N35:O35"/>
    <mergeCell ref="K28:L28"/>
    <mergeCell ref="P41:Q41"/>
    <mergeCell ref="P28:Q28"/>
    <mergeCell ref="P29:Q29"/>
    <mergeCell ref="P30:Q30"/>
    <mergeCell ref="P31:Q31"/>
    <mergeCell ref="P36:Q36"/>
    <mergeCell ref="P37:Q37"/>
    <mergeCell ref="P38:Q38"/>
    <mergeCell ref="P39:Q39"/>
    <mergeCell ref="P40:Q40"/>
    <mergeCell ref="P35:Q35"/>
  </mergeCells>
  <printOptions horizontalCentered="1" verticalCentered="1"/>
  <pageMargins left="0.39370078740157483" right="0" top="0.59055118110236227" bottom="0.39370078740157483" header="0" footer="0"/>
  <pageSetup paperSize="9" scale="64" orientation="landscape" r:id="rId1"/>
  <drawing r:id="rId2"/>
</worksheet>
</file>

<file path=xl/worksheets/sheet9.xml><?xml version="1.0" encoding="utf-8"?>
<worksheet xmlns="http://schemas.openxmlformats.org/spreadsheetml/2006/main" xmlns:r="http://schemas.openxmlformats.org/officeDocument/2006/relationships">
  <dimension ref="A1:N195"/>
  <sheetViews>
    <sheetView view="pageBreakPreview" topLeftCell="A16" zoomScale="85" zoomScaleSheetLayoutView="85" workbookViewId="0">
      <selection activeCell="E49" sqref="E49"/>
    </sheetView>
  </sheetViews>
  <sheetFormatPr defaultRowHeight="15"/>
  <cols>
    <col min="1" max="8" width="17.7109375" customWidth="1"/>
  </cols>
  <sheetData>
    <row r="1" spans="1:8" ht="18.75">
      <c r="A1" s="1136" t="s">
        <v>80</v>
      </c>
      <c r="B1" s="1136"/>
      <c r="C1" s="1136"/>
      <c r="D1" s="1136"/>
      <c r="E1" s="1136"/>
      <c r="F1" s="1136"/>
      <c r="G1" s="1136"/>
      <c r="H1" s="57"/>
    </row>
    <row r="3" spans="1:8" ht="15.75">
      <c r="A3" s="58" t="s">
        <v>0</v>
      </c>
      <c r="B3" t="s">
        <v>81</v>
      </c>
    </row>
    <row r="5" spans="1:8">
      <c r="A5" s="46" t="s">
        <v>13</v>
      </c>
    </row>
    <row r="7" spans="1:8">
      <c r="A7" s="1125" t="s">
        <v>9</v>
      </c>
      <c r="B7" s="1126"/>
      <c r="C7" s="1126"/>
      <c r="D7" s="1126"/>
      <c r="E7" s="1126"/>
      <c r="F7" s="1127"/>
    </row>
    <row r="8" spans="1:8">
      <c r="A8" s="4" t="s">
        <v>1</v>
      </c>
      <c r="B8" s="4" t="s">
        <v>3</v>
      </c>
      <c r="C8" s="4" t="s">
        <v>4</v>
      </c>
      <c r="D8" s="4" t="s">
        <v>5</v>
      </c>
      <c r="E8" s="4" t="s">
        <v>2</v>
      </c>
      <c r="F8" s="2" t="s">
        <v>6</v>
      </c>
    </row>
    <row r="9" spans="1:8" ht="8.1" customHeight="1"/>
    <row r="10" spans="1:8" ht="40.5" customHeight="1">
      <c r="A10" s="61" t="s">
        <v>129</v>
      </c>
      <c r="B10" s="60">
        <v>1</v>
      </c>
      <c r="C10" s="60">
        <v>1</v>
      </c>
      <c r="D10" s="60">
        <v>1</v>
      </c>
      <c r="E10" s="60">
        <v>15</v>
      </c>
      <c r="F10" s="60">
        <f>B10*C10*D10*E10</f>
        <v>15</v>
      </c>
    </row>
    <row r="11" spans="1:8">
      <c r="F11" s="41">
        <f>SUM(F10:F10)</f>
        <v>15</v>
      </c>
      <c r="G11" s="42" t="s">
        <v>7</v>
      </c>
    </row>
    <row r="12" spans="1:8">
      <c r="E12" s="1"/>
    </row>
    <row r="13" spans="1:8">
      <c r="A13" s="1125" t="s">
        <v>8</v>
      </c>
      <c r="B13" s="1126"/>
      <c r="C13" s="1126"/>
      <c r="D13" s="1126"/>
      <c r="E13" s="1126"/>
      <c r="F13" s="1127"/>
    </row>
    <row r="14" spans="1:8">
      <c r="A14" s="4" t="s">
        <v>1</v>
      </c>
      <c r="B14" s="4" t="s">
        <v>3</v>
      </c>
      <c r="C14" s="4" t="s">
        <v>4</v>
      </c>
      <c r="D14" s="4" t="s">
        <v>5</v>
      </c>
      <c r="E14" s="4" t="s">
        <v>2</v>
      </c>
      <c r="F14" s="2" t="s">
        <v>6</v>
      </c>
    </row>
    <row r="15" spans="1:8" ht="8.1" customHeight="1"/>
    <row r="16" spans="1:8">
      <c r="A16" s="5" t="s">
        <v>115</v>
      </c>
      <c r="B16" s="8">
        <v>21.4</v>
      </c>
      <c r="C16" s="60">
        <v>0.2</v>
      </c>
      <c r="D16" s="60">
        <v>0.4</v>
      </c>
      <c r="E16" s="8">
        <v>1</v>
      </c>
      <c r="F16" s="8">
        <f>B16*C16*D16*E16</f>
        <v>1.7120000000000002</v>
      </c>
    </row>
    <row r="17" spans="1:7">
      <c r="A17" s="78" t="s">
        <v>114</v>
      </c>
      <c r="B17" s="8">
        <v>14.1</v>
      </c>
      <c r="C17" s="60">
        <v>0.15</v>
      </c>
      <c r="D17" s="60">
        <v>0.4</v>
      </c>
      <c r="E17" s="8">
        <v>1</v>
      </c>
      <c r="F17" s="8">
        <f t="shared" ref="F17:F22" si="0">B17*C17*D17*E17</f>
        <v>0.84599999999999997</v>
      </c>
    </row>
    <row r="18" spans="1:7">
      <c r="A18" s="78" t="s">
        <v>116</v>
      </c>
      <c r="B18" s="8">
        <v>0.8</v>
      </c>
      <c r="C18" s="60">
        <v>0.15</v>
      </c>
      <c r="D18" s="60">
        <v>0.4</v>
      </c>
      <c r="E18" s="8">
        <v>1</v>
      </c>
      <c r="F18" s="8">
        <f t="shared" si="0"/>
        <v>4.8000000000000001E-2</v>
      </c>
    </row>
    <row r="19" spans="1:7">
      <c r="A19" s="78" t="s">
        <v>117</v>
      </c>
      <c r="B19" s="8">
        <v>3.75</v>
      </c>
      <c r="C19" s="60">
        <v>0.15</v>
      </c>
      <c r="D19" s="60">
        <v>0.4</v>
      </c>
      <c r="E19" s="8">
        <v>1</v>
      </c>
      <c r="F19" s="8">
        <f t="shared" si="0"/>
        <v>0.22500000000000001</v>
      </c>
    </row>
    <row r="20" spans="1:7">
      <c r="A20" s="78" t="s">
        <v>118</v>
      </c>
      <c r="B20" s="8">
        <v>2.9</v>
      </c>
      <c r="C20" s="60">
        <v>0.15</v>
      </c>
      <c r="D20" s="60">
        <v>0.4</v>
      </c>
      <c r="E20" s="8">
        <v>1</v>
      </c>
      <c r="F20" s="8">
        <f t="shared" si="0"/>
        <v>0.17400000000000002</v>
      </c>
    </row>
    <row r="21" spans="1:7">
      <c r="A21" s="78" t="s">
        <v>119</v>
      </c>
      <c r="B21" s="8">
        <v>8.9</v>
      </c>
      <c r="C21" s="60">
        <v>0.15</v>
      </c>
      <c r="D21" s="60">
        <v>0.4</v>
      </c>
      <c r="E21" s="8">
        <v>1</v>
      </c>
      <c r="F21" s="8">
        <f t="shared" si="0"/>
        <v>0.53400000000000003</v>
      </c>
    </row>
    <row r="22" spans="1:7">
      <c r="A22" s="33" t="s">
        <v>120</v>
      </c>
      <c r="B22" s="8">
        <v>10.3</v>
      </c>
      <c r="C22" s="60">
        <v>0.15</v>
      </c>
      <c r="D22" s="60">
        <v>0.4</v>
      </c>
      <c r="E22" s="8">
        <v>1</v>
      </c>
      <c r="F22" s="8">
        <f t="shared" si="0"/>
        <v>0.6180000000000001</v>
      </c>
    </row>
    <row r="23" spans="1:7">
      <c r="F23" s="41">
        <f>SUM(F16:F22)</f>
        <v>4.1570000000000009</v>
      </c>
      <c r="G23" s="42" t="s">
        <v>7</v>
      </c>
    </row>
    <row r="25" spans="1:7">
      <c r="A25" s="1125" t="s">
        <v>124</v>
      </c>
      <c r="B25" s="1126"/>
      <c r="C25" s="1126"/>
      <c r="D25" s="1126"/>
      <c r="E25" s="1127"/>
      <c r="F25" s="80"/>
    </row>
    <row r="26" spans="1:7">
      <c r="A26" s="15" t="s">
        <v>1</v>
      </c>
      <c r="B26" s="15" t="s">
        <v>121</v>
      </c>
      <c r="C26" s="15" t="s">
        <v>5</v>
      </c>
      <c r="D26" s="15" t="s">
        <v>2</v>
      </c>
      <c r="E26" s="79" t="s">
        <v>6</v>
      </c>
    </row>
    <row r="27" spans="1:7" ht="8.1" customHeight="1"/>
    <row r="28" spans="1:7">
      <c r="A28" s="33" t="s">
        <v>11</v>
      </c>
      <c r="B28" s="6">
        <v>96.97</v>
      </c>
      <c r="C28" s="3">
        <v>0.1</v>
      </c>
      <c r="D28" s="6">
        <v>2</v>
      </c>
      <c r="E28" s="6">
        <f>B28*C28*D28</f>
        <v>19.394000000000002</v>
      </c>
    </row>
    <row r="29" spans="1:7">
      <c r="E29" s="41">
        <f>SUM(E28:E28)</f>
        <v>19.394000000000002</v>
      </c>
      <c r="F29" s="42" t="s">
        <v>7</v>
      </c>
    </row>
    <row r="31" spans="1:7">
      <c r="A31" s="1125" t="s">
        <v>12</v>
      </c>
      <c r="B31" s="1126"/>
      <c r="C31" s="1126"/>
      <c r="D31" s="1126"/>
      <c r="E31" s="1126"/>
      <c r="F31" s="1127"/>
    </row>
    <row r="32" spans="1:7">
      <c r="A32" s="4" t="s">
        <v>1</v>
      </c>
      <c r="B32" s="4" t="s">
        <v>3</v>
      </c>
      <c r="C32" s="4" t="s">
        <v>4</v>
      </c>
      <c r="D32" s="4" t="s">
        <v>5</v>
      </c>
      <c r="E32" s="4" t="s">
        <v>2</v>
      </c>
      <c r="F32" s="2" t="s">
        <v>6</v>
      </c>
    </row>
    <row r="33" spans="1:14" ht="8.1" customHeight="1"/>
    <row r="34" spans="1:14" ht="45" customHeight="1">
      <c r="A34" s="11" t="s">
        <v>130</v>
      </c>
      <c r="B34" s="7">
        <v>0.2</v>
      </c>
      <c r="C34" s="7">
        <v>0.4</v>
      </c>
      <c r="D34" s="8">
        <v>10</v>
      </c>
      <c r="E34" s="8">
        <v>1</v>
      </c>
      <c r="F34" s="8">
        <f>B34*C34*D34*E34</f>
        <v>0.80000000000000016</v>
      </c>
    </row>
    <row r="35" spans="1:14">
      <c r="A35" s="12" t="s">
        <v>131</v>
      </c>
      <c r="B35" s="7">
        <v>0.15</v>
      </c>
      <c r="C35" s="7">
        <v>0.3</v>
      </c>
      <c r="D35" s="8">
        <v>5</v>
      </c>
      <c r="E35" s="8">
        <v>1</v>
      </c>
      <c r="F35" s="9">
        <f t="shared" ref="F35:F36" si="1">B35*C35*D35*E35</f>
        <v>0.22499999999999998</v>
      </c>
    </row>
    <row r="36" spans="1:14" ht="30" customHeight="1">
      <c r="A36" s="61" t="s">
        <v>122</v>
      </c>
      <c r="B36" s="7">
        <v>0.15</v>
      </c>
      <c r="C36" s="7">
        <v>0.3</v>
      </c>
      <c r="D36" s="8">
        <v>4</v>
      </c>
      <c r="E36" s="8">
        <v>1</v>
      </c>
      <c r="F36" s="9">
        <f t="shared" si="1"/>
        <v>0.18</v>
      </c>
    </row>
    <row r="37" spans="1:14" ht="30" customHeight="1">
      <c r="A37" s="61" t="s">
        <v>132</v>
      </c>
      <c r="B37" s="7">
        <v>0.15</v>
      </c>
      <c r="C37" s="7">
        <v>0.3</v>
      </c>
      <c r="D37" s="8">
        <v>3</v>
      </c>
      <c r="E37" s="8">
        <v>1</v>
      </c>
      <c r="F37" s="9">
        <f t="shared" ref="F37" si="2">B37*C37*D37*E37</f>
        <v>0.13500000000000001</v>
      </c>
    </row>
    <row r="38" spans="1:14">
      <c r="F38" s="81">
        <f>SUM(F34:F37)</f>
        <v>1.34</v>
      </c>
      <c r="G38" s="42" t="s">
        <v>7</v>
      </c>
    </row>
    <row r="40" spans="1:14">
      <c r="A40" s="1125" t="s">
        <v>14</v>
      </c>
      <c r="B40" s="1126"/>
      <c r="C40" s="1126"/>
      <c r="D40" s="1126"/>
      <c r="E40" s="1126"/>
      <c r="F40" s="1127"/>
    </row>
    <row r="41" spans="1:14">
      <c r="A41" s="4" t="s">
        <v>1</v>
      </c>
      <c r="B41" s="4" t="s">
        <v>3</v>
      </c>
      <c r="C41" s="4" t="s">
        <v>4</v>
      </c>
      <c r="D41" s="4" t="s">
        <v>5</v>
      </c>
      <c r="E41" s="4" t="s">
        <v>2</v>
      </c>
      <c r="F41" s="2" t="s">
        <v>6</v>
      </c>
    </row>
    <row r="42" spans="1:14" ht="8.1" customHeight="1"/>
    <row r="43" spans="1:14" ht="29.25" customHeight="1">
      <c r="A43" s="61" t="s">
        <v>14</v>
      </c>
      <c r="B43" s="60">
        <v>21.4</v>
      </c>
      <c r="C43" s="60">
        <v>0.2</v>
      </c>
      <c r="D43" s="60">
        <v>10</v>
      </c>
      <c r="E43" s="60">
        <v>1</v>
      </c>
      <c r="F43" s="60">
        <f>B43*C43*D43*E43</f>
        <v>42.800000000000004</v>
      </c>
    </row>
    <row r="44" spans="1:14">
      <c r="F44" s="41">
        <f>SUM(F43:F43)</f>
        <v>42.800000000000004</v>
      </c>
      <c r="G44" s="42" t="s">
        <v>7</v>
      </c>
    </row>
    <row r="46" spans="1:14">
      <c r="A46" s="1125" t="s">
        <v>82</v>
      </c>
      <c r="B46" s="1126"/>
      <c r="C46" s="1126"/>
      <c r="D46" s="1126"/>
      <c r="E46" s="1126"/>
      <c r="F46" s="1127"/>
    </row>
    <row r="47" spans="1:14">
      <c r="A47" s="4" t="s">
        <v>1</v>
      </c>
      <c r="B47" s="4" t="s">
        <v>3</v>
      </c>
      <c r="C47" s="4" t="s">
        <v>4</v>
      </c>
      <c r="D47" s="4" t="s">
        <v>5</v>
      </c>
      <c r="E47" s="4" t="s">
        <v>2</v>
      </c>
      <c r="F47" s="2" t="s">
        <v>6</v>
      </c>
    </row>
    <row r="48" spans="1:14" ht="8.1" customHeight="1">
      <c r="N48" t="s">
        <v>15</v>
      </c>
    </row>
    <row r="49" spans="1:8">
      <c r="A49" s="12" t="s">
        <v>123</v>
      </c>
      <c r="B49" s="8">
        <v>21.4</v>
      </c>
      <c r="C49" s="60">
        <v>0.2</v>
      </c>
      <c r="D49" s="60">
        <v>0.4</v>
      </c>
      <c r="E49" s="8">
        <v>2</v>
      </c>
      <c r="F49" s="8">
        <f>B49*C49*D49*E49</f>
        <v>3.4240000000000004</v>
      </c>
    </row>
    <row r="50" spans="1:8">
      <c r="A50" s="78" t="s">
        <v>114</v>
      </c>
      <c r="B50" s="8">
        <v>14.1</v>
      </c>
      <c r="C50" s="60">
        <v>0.15</v>
      </c>
      <c r="D50" s="60">
        <v>0.4</v>
      </c>
      <c r="E50" s="8">
        <v>1</v>
      </c>
      <c r="F50" s="8">
        <f t="shared" ref="F50:F55" si="3">B50*C50*D50*E50</f>
        <v>0.84599999999999997</v>
      </c>
    </row>
    <row r="51" spans="1:8">
      <c r="A51" s="78" t="s">
        <v>116</v>
      </c>
      <c r="B51" s="8">
        <v>0.8</v>
      </c>
      <c r="C51" s="60">
        <v>0.15</v>
      </c>
      <c r="D51" s="60">
        <v>0.4</v>
      </c>
      <c r="E51" s="8">
        <v>1</v>
      </c>
      <c r="F51" s="8">
        <f t="shared" si="3"/>
        <v>4.8000000000000001E-2</v>
      </c>
    </row>
    <row r="52" spans="1:8">
      <c r="A52" s="78" t="s">
        <v>117</v>
      </c>
      <c r="B52" s="8">
        <v>3.75</v>
      </c>
      <c r="C52" s="60">
        <v>0.15</v>
      </c>
      <c r="D52" s="60">
        <v>0.4</v>
      </c>
      <c r="E52" s="8">
        <v>1</v>
      </c>
      <c r="F52" s="8">
        <f t="shared" si="3"/>
        <v>0.22500000000000001</v>
      </c>
    </row>
    <row r="53" spans="1:8">
      <c r="A53" s="78" t="s">
        <v>118</v>
      </c>
      <c r="B53" s="8">
        <v>2.9</v>
      </c>
      <c r="C53" s="60">
        <v>0.15</v>
      </c>
      <c r="D53" s="60">
        <v>0.4</v>
      </c>
      <c r="E53" s="8">
        <v>1</v>
      </c>
      <c r="F53" s="8">
        <f t="shared" si="3"/>
        <v>0.17400000000000002</v>
      </c>
    </row>
    <row r="54" spans="1:8">
      <c r="A54" s="78" t="s">
        <v>119</v>
      </c>
      <c r="B54" s="8">
        <v>8.9</v>
      </c>
      <c r="C54" s="60">
        <v>0.15</v>
      </c>
      <c r="D54" s="60">
        <v>0.4</v>
      </c>
      <c r="E54" s="8">
        <v>1</v>
      </c>
      <c r="F54" s="8">
        <f t="shared" si="3"/>
        <v>0.53400000000000003</v>
      </c>
    </row>
    <row r="55" spans="1:8">
      <c r="A55" s="33" t="s">
        <v>120</v>
      </c>
      <c r="B55" s="8">
        <v>10.3</v>
      </c>
      <c r="C55" s="60">
        <v>0.15</v>
      </c>
      <c r="D55" s="60">
        <v>0.4</v>
      </c>
      <c r="E55" s="8">
        <v>1</v>
      </c>
      <c r="F55" s="8">
        <f t="shared" si="3"/>
        <v>0.6180000000000001</v>
      </c>
    </row>
    <row r="56" spans="1:8">
      <c r="F56" s="41">
        <f>SUM(F49:F55)</f>
        <v>5.8690000000000007</v>
      </c>
      <c r="G56" s="42" t="s">
        <v>7</v>
      </c>
    </row>
    <row r="59" spans="1:8">
      <c r="A59" s="1118" t="s">
        <v>17</v>
      </c>
      <c r="B59" s="1119"/>
      <c r="C59" s="1119"/>
      <c r="D59" s="43">
        <f>F11+F23+E29+F38+F44+F56</f>
        <v>88.56</v>
      </c>
      <c r="E59" s="44" t="s">
        <v>18</v>
      </c>
    </row>
    <row r="61" spans="1:8">
      <c r="B61" s="1115" t="s">
        <v>20</v>
      </c>
      <c r="C61" s="1116"/>
      <c r="D61" s="1116"/>
      <c r="E61" s="1117"/>
    </row>
    <row r="62" spans="1:8">
      <c r="B62" s="20" t="s">
        <v>19</v>
      </c>
      <c r="C62" s="21"/>
      <c r="D62" s="22">
        <f>ROUNDUP(((D59*7)*1.05),0)</f>
        <v>651</v>
      </c>
      <c r="E62" s="23" t="s">
        <v>23</v>
      </c>
      <c r="H62" s="10" t="s">
        <v>16</v>
      </c>
    </row>
    <row r="63" spans="1:8">
      <c r="B63" s="38" t="s">
        <v>21</v>
      </c>
      <c r="C63" s="39"/>
      <c r="D63" s="21">
        <f>ROUNDUP(((D62*6)/50)*1.05,0)</f>
        <v>83</v>
      </c>
      <c r="E63" s="24" t="s">
        <v>18</v>
      </c>
    </row>
    <row r="64" spans="1:8">
      <c r="B64" s="38" t="s">
        <v>22</v>
      </c>
      <c r="C64" s="39"/>
      <c r="D64" s="21">
        <f>D63</f>
        <v>83</v>
      </c>
      <c r="E64" s="24" t="s">
        <v>18</v>
      </c>
    </row>
    <row r="65" spans="1:9">
      <c r="B65" s="1104" t="s">
        <v>84</v>
      </c>
      <c r="C65" s="1105"/>
      <c r="D65" s="1115"/>
      <c r="E65" s="1117"/>
    </row>
    <row r="67" spans="1:9">
      <c r="A67" s="46" t="s">
        <v>39</v>
      </c>
      <c r="B67" s="46"/>
      <c r="C67" s="46"/>
      <c r="D67" s="46"/>
    </row>
    <row r="69" spans="1:9">
      <c r="A69" s="1125" t="s">
        <v>30</v>
      </c>
      <c r="B69" s="1126"/>
      <c r="C69" s="1126"/>
      <c r="D69" s="1126"/>
      <c r="E69" s="1126"/>
      <c r="F69" s="1126"/>
      <c r="G69" s="1127"/>
      <c r="H69" s="16"/>
    </row>
    <row r="70" spans="1:9">
      <c r="A70" s="1128" t="s">
        <v>29</v>
      </c>
      <c r="B70" s="1128"/>
      <c r="C70" s="13" t="s">
        <v>24</v>
      </c>
      <c r="D70" s="13" t="s">
        <v>125</v>
      </c>
      <c r="E70" s="13" t="s">
        <v>25</v>
      </c>
      <c r="F70" s="13" t="s">
        <v>26</v>
      </c>
      <c r="G70" s="13" t="s">
        <v>27</v>
      </c>
      <c r="H70" s="17"/>
      <c r="I70" s="18"/>
    </row>
    <row r="71" spans="1:9">
      <c r="A71" s="1128" t="s">
        <v>9</v>
      </c>
      <c r="B71" s="1128"/>
      <c r="C71" s="3">
        <v>0</v>
      </c>
      <c r="D71" s="3">
        <v>0</v>
      </c>
      <c r="E71" s="3">
        <v>0</v>
      </c>
      <c r="F71" s="3">
        <v>0</v>
      </c>
      <c r="G71" s="3">
        <f>2*9*1.3*15</f>
        <v>351.00000000000006</v>
      </c>
      <c r="H71" s="19"/>
      <c r="I71" s="18"/>
    </row>
    <row r="72" spans="1:9">
      <c r="A72" s="1132" t="s">
        <v>133</v>
      </c>
      <c r="B72" s="1133"/>
      <c r="C72" s="3">
        <f>1.16*((ROUNDUP(10/0.15,0))*5)</f>
        <v>388.59999999999997</v>
      </c>
      <c r="D72" s="3">
        <v>0</v>
      </c>
      <c r="E72" s="3">
        <v>0</v>
      </c>
      <c r="F72" s="3">
        <v>0</v>
      </c>
      <c r="G72" s="3">
        <f>6*10*6</f>
        <v>360</v>
      </c>
      <c r="H72" s="19"/>
      <c r="I72" s="18"/>
    </row>
    <row r="73" spans="1:9">
      <c r="A73" s="1132" t="s">
        <v>134</v>
      </c>
      <c r="B73" s="1133"/>
      <c r="C73" s="3">
        <f>1.06*((ROUNDUP(4/0.15,0))*9)</f>
        <v>257.58000000000004</v>
      </c>
      <c r="D73" s="3">
        <v>0</v>
      </c>
      <c r="E73" s="3">
        <v>0</v>
      </c>
      <c r="F73" s="3">
        <v>0</v>
      </c>
      <c r="G73" s="3">
        <f>6*4*9</f>
        <v>216</v>
      </c>
      <c r="H73" s="19"/>
      <c r="I73" s="18"/>
    </row>
    <row r="74" spans="1:9">
      <c r="A74" s="1129" t="s">
        <v>8</v>
      </c>
      <c r="B74" s="1129"/>
      <c r="C74" s="6">
        <f>(ROUNDUP(21.4/0.15,0))*1.16</f>
        <v>165.88</v>
      </c>
      <c r="D74" s="6">
        <v>0</v>
      </c>
      <c r="E74" s="6">
        <f>(21.4)*2+(0.3*14)</f>
        <v>47</v>
      </c>
      <c r="F74" s="6">
        <f>(21.4)*4+(0.3*14)</f>
        <v>89.8</v>
      </c>
      <c r="G74" s="6">
        <v>0</v>
      </c>
      <c r="H74" s="19"/>
      <c r="I74" s="18"/>
    </row>
    <row r="75" spans="1:9" s="32" customFormat="1">
      <c r="A75" s="1129" t="s">
        <v>8</v>
      </c>
      <c r="B75" s="1129"/>
      <c r="C75" s="6">
        <f>(ROUNDUP(SUM(I75:I81)/0.15,0))*1.06</f>
        <v>288.32</v>
      </c>
      <c r="D75" s="6">
        <v>0</v>
      </c>
      <c r="E75" s="6">
        <f>($I$75+$I$76+$I$77+$I$78+$I$79+$I$80+$I$81)*2+(0.3*14)</f>
        <v>85.7</v>
      </c>
      <c r="F75" s="6">
        <f>($I$75+$I$76+$I$77+$I$78+$I$79+$I$80+$I$81)*4+(0.3*14)</f>
        <v>167.2</v>
      </c>
      <c r="G75" s="6">
        <v>0</v>
      </c>
      <c r="H75" s="82"/>
      <c r="I75" s="8"/>
    </row>
    <row r="76" spans="1:9" s="32" customFormat="1">
      <c r="A76" s="1129" t="s">
        <v>31</v>
      </c>
      <c r="B76" s="1129"/>
      <c r="C76" s="6">
        <v>0</v>
      </c>
      <c r="D76" s="6">
        <f>21.4*100</f>
        <v>2140</v>
      </c>
      <c r="E76" s="6">
        <v>0</v>
      </c>
      <c r="F76" s="6">
        <f>107*10</f>
        <v>1070</v>
      </c>
      <c r="G76" s="6">
        <v>0</v>
      </c>
      <c r="H76" s="82"/>
      <c r="I76" s="8">
        <v>14.1</v>
      </c>
    </row>
    <row r="77" spans="1:9" s="32" customFormat="1">
      <c r="A77" s="1130" t="s">
        <v>10</v>
      </c>
      <c r="B77" s="1131"/>
      <c r="C77" s="6">
        <v>0</v>
      </c>
      <c r="D77" s="6">
        <f>71*12.5+84*10.6</f>
        <v>1777.9</v>
      </c>
      <c r="E77" s="6">
        <v>0</v>
      </c>
      <c r="F77" s="6">
        <v>0</v>
      </c>
      <c r="G77" s="6">
        <v>0</v>
      </c>
      <c r="H77" s="82"/>
      <c r="I77" s="8">
        <v>0.8</v>
      </c>
    </row>
    <row r="78" spans="1:9" s="32" customFormat="1">
      <c r="A78" s="1130" t="s">
        <v>32</v>
      </c>
      <c r="B78" s="1131"/>
      <c r="C78" s="6">
        <f>(ROUNDUP(21.4/0.15,0))*1.16</f>
        <v>165.88</v>
      </c>
      <c r="D78" s="6">
        <v>0</v>
      </c>
      <c r="E78" s="6">
        <f>(21.4)*2+(0.3*14)</f>
        <v>47</v>
      </c>
      <c r="F78" s="6">
        <f>(21.4)*4+(0.3*14)</f>
        <v>89.8</v>
      </c>
      <c r="G78" s="6">
        <v>0</v>
      </c>
      <c r="H78" s="82"/>
      <c r="I78" s="8">
        <v>3.75</v>
      </c>
    </row>
    <row r="79" spans="1:9" s="32" customFormat="1">
      <c r="A79" s="1130" t="s">
        <v>32</v>
      </c>
      <c r="B79" s="1131"/>
      <c r="C79" s="6">
        <f>(ROUNDUP(SUM(I76:I81)/0.15,0))*1.06</f>
        <v>288.32</v>
      </c>
      <c r="D79" s="6">
        <v>0</v>
      </c>
      <c r="E79" s="6">
        <f>($I$75+$I$76+$I$77+$I$78+$I$79+$I$80+$I$81)*2+(0.3*14)</f>
        <v>85.7</v>
      </c>
      <c r="F79" s="6">
        <f>($I$75+$I$76+$I$77+$I$78+$I$79+$I$80+$I$81)*4+(0.3*14)</f>
        <v>167.2</v>
      </c>
      <c r="G79" s="6">
        <v>0</v>
      </c>
      <c r="H79" s="82"/>
      <c r="I79" s="8">
        <v>2.9</v>
      </c>
    </row>
    <row r="80" spans="1:9" s="32" customFormat="1">
      <c r="A80" s="1129" t="s">
        <v>83</v>
      </c>
      <c r="B80" s="1129"/>
      <c r="C80" s="6">
        <v>0</v>
      </c>
      <c r="D80" s="6">
        <f>71*12.5+84*10.6</f>
        <v>1777.9</v>
      </c>
      <c r="E80" s="6">
        <v>0</v>
      </c>
      <c r="F80" s="6">
        <v>0</v>
      </c>
      <c r="G80" s="6">
        <v>0</v>
      </c>
      <c r="H80" s="82"/>
      <c r="I80" s="8">
        <v>8.9</v>
      </c>
    </row>
    <row r="81" spans="1:9" ht="8.1" customHeight="1">
      <c r="A81" s="1128"/>
      <c r="B81" s="1128"/>
      <c r="C81" s="1128"/>
      <c r="D81" s="1128"/>
      <c r="E81" s="1128"/>
      <c r="F81" s="1128"/>
      <c r="G81" s="1128"/>
      <c r="H81" s="19"/>
      <c r="I81" s="8">
        <v>10.3</v>
      </c>
    </row>
    <row r="82" spans="1:9">
      <c r="A82" s="1118" t="s">
        <v>33</v>
      </c>
      <c r="B82" s="1138"/>
      <c r="C82" s="45">
        <f>SUM(C71:C80)</f>
        <v>1554.5800000000002</v>
      </c>
      <c r="D82" s="45">
        <f>SUM(D71:D80)</f>
        <v>5695.8</v>
      </c>
      <c r="E82" s="45">
        <f>SUM(E71:E80)</f>
        <v>265.39999999999998</v>
      </c>
      <c r="F82" s="45">
        <f>SUM(F71:F80)</f>
        <v>1584</v>
      </c>
      <c r="G82" s="45">
        <f>SUM(G71:G80)</f>
        <v>927</v>
      </c>
      <c r="H82" s="14"/>
    </row>
    <row r="84" spans="1:9">
      <c r="B84" s="1115" t="s">
        <v>38</v>
      </c>
      <c r="C84" s="1116"/>
      <c r="D84" s="1117"/>
    </row>
    <row r="85" spans="1:9">
      <c r="B85" s="25" t="s">
        <v>126</v>
      </c>
      <c r="C85" s="26">
        <f>ROUNDUP(C82/12,0)</f>
        <v>130</v>
      </c>
      <c r="D85" s="27" t="s">
        <v>37</v>
      </c>
      <c r="F85">
        <f>ROUNDUP(C82*0.154,0)</f>
        <v>240</v>
      </c>
      <c r="G85" t="s">
        <v>92</v>
      </c>
    </row>
    <row r="86" spans="1:9">
      <c r="B86" s="25" t="s">
        <v>127</v>
      </c>
      <c r="C86" s="26">
        <f>ROUNDUP(D82/12,0)</f>
        <v>475</v>
      </c>
      <c r="D86" s="27" t="s">
        <v>37</v>
      </c>
      <c r="F86">
        <f>ROUNDUP(D82*0.245,0)</f>
        <v>1396</v>
      </c>
      <c r="G86" t="s">
        <v>92</v>
      </c>
    </row>
    <row r="87" spans="1:9">
      <c r="B87" s="28" t="s">
        <v>34</v>
      </c>
      <c r="C87" s="26">
        <f>ROUNDUP(E82/12,0)</f>
        <v>23</v>
      </c>
      <c r="D87" s="27" t="s">
        <v>37</v>
      </c>
      <c r="F87">
        <f>ROUNDUP(E82*0.395,0)</f>
        <v>105</v>
      </c>
      <c r="G87" t="s">
        <v>92</v>
      </c>
    </row>
    <row r="88" spans="1:9">
      <c r="B88" s="25" t="s">
        <v>35</v>
      </c>
      <c r="C88" s="26">
        <f>ROUNDUP(F82/12,0)</f>
        <v>132</v>
      </c>
      <c r="D88" s="27" t="s">
        <v>37</v>
      </c>
      <c r="F88">
        <f>ROUNDUP(F82*0.617,0)</f>
        <v>978</v>
      </c>
      <c r="G88" t="s">
        <v>92</v>
      </c>
    </row>
    <row r="89" spans="1:9">
      <c r="B89" s="25" t="s">
        <v>36</v>
      </c>
      <c r="C89" s="26">
        <f>ROUNDUP(G82/12,0)</f>
        <v>78</v>
      </c>
      <c r="D89" s="27" t="s">
        <v>37</v>
      </c>
      <c r="F89">
        <f>ROUNDUP(G82*0.963,0)</f>
        <v>893</v>
      </c>
      <c r="G89" t="s">
        <v>92</v>
      </c>
    </row>
    <row r="90" spans="1:9">
      <c r="F90" s="69">
        <f>SUM(F85:F89)</f>
        <v>3612</v>
      </c>
      <c r="G90" s="70" t="s">
        <v>92</v>
      </c>
    </row>
    <row r="91" spans="1:9">
      <c r="F91" s="18"/>
      <c r="G91" s="18"/>
    </row>
    <row r="92" spans="1:9">
      <c r="A92" s="46" t="s">
        <v>96</v>
      </c>
      <c r="B92" s="46"/>
      <c r="C92" t="s">
        <v>97</v>
      </c>
      <c r="E92">
        <f>F90</f>
        <v>3612</v>
      </c>
      <c r="F92" s="18" t="s">
        <v>92</v>
      </c>
      <c r="G92" s="18"/>
    </row>
    <row r="93" spans="1:9">
      <c r="E93" s="32">
        <v>0.01</v>
      </c>
      <c r="F93" s="71" t="s">
        <v>98</v>
      </c>
      <c r="G93" s="18"/>
    </row>
    <row r="94" spans="1:9">
      <c r="E94" s="21">
        <f>E92*E93</f>
        <v>36.119999999999997</v>
      </c>
      <c r="F94" s="24" t="s">
        <v>92</v>
      </c>
      <c r="G94" s="18"/>
    </row>
    <row r="95" spans="1:9" s="67" customFormat="1">
      <c r="A95" s="83" t="s">
        <v>128</v>
      </c>
      <c r="B95" s="83"/>
    </row>
    <row r="97" spans="1:5">
      <c r="A97" s="1137" t="s">
        <v>41</v>
      </c>
      <c r="B97" s="1137"/>
      <c r="C97" s="1137"/>
      <c r="D97" s="1137"/>
    </row>
    <row r="98" spans="1:5">
      <c r="A98" s="15" t="s">
        <v>28</v>
      </c>
      <c r="B98" s="15" t="s">
        <v>42</v>
      </c>
      <c r="C98" s="15" t="s">
        <v>40</v>
      </c>
      <c r="D98" s="2" t="s">
        <v>43</v>
      </c>
    </row>
    <row r="99" spans="1:5">
      <c r="A99" s="15">
        <v>21.4</v>
      </c>
      <c r="B99" s="15">
        <v>1</v>
      </c>
      <c r="C99" s="84">
        <v>10</v>
      </c>
      <c r="D99" s="63">
        <f>A99*B99*C99</f>
        <v>214</v>
      </c>
    </row>
    <row r="100" spans="1:5">
      <c r="A100" s="15">
        <v>10.6</v>
      </c>
      <c r="B100" s="15">
        <v>1</v>
      </c>
      <c r="C100" s="15">
        <v>3</v>
      </c>
      <c r="D100" s="63">
        <f t="shared" ref="D100:D103" si="4">A100*B100*C100</f>
        <v>31.799999999999997</v>
      </c>
    </row>
    <row r="101" spans="1:5">
      <c r="A101" s="3">
        <v>1.1499999999999999</v>
      </c>
      <c r="B101" s="3">
        <v>1</v>
      </c>
      <c r="C101" s="3">
        <v>3</v>
      </c>
      <c r="D101" s="63">
        <f t="shared" si="4"/>
        <v>3.4499999999999997</v>
      </c>
    </row>
    <row r="102" spans="1:5">
      <c r="A102" s="3">
        <v>8</v>
      </c>
      <c r="B102" s="3">
        <v>1</v>
      </c>
      <c r="C102" s="3">
        <v>3.5</v>
      </c>
      <c r="D102" s="63">
        <f t="shared" si="4"/>
        <v>28</v>
      </c>
    </row>
    <row r="103" spans="1:5">
      <c r="A103" s="3">
        <v>6.3</v>
      </c>
      <c r="B103" s="3">
        <v>1</v>
      </c>
      <c r="C103" s="3">
        <v>4.5</v>
      </c>
      <c r="D103" s="63">
        <f t="shared" si="4"/>
        <v>28.349999999999998</v>
      </c>
    </row>
    <row r="104" spans="1:5">
      <c r="A104" s="3">
        <v>4</v>
      </c>
      <c r="B104" s="3">
        <v>1</v>
      </c>
      <c r="C104" s="3">
        <v>4.5</v>
      </c>
      <c r="D104" s="63">
        <f t="shared" ref="D104" si="5">A104*B104*C104</f>
        <v>18</v>
      </c>
    </row>
    <row r="105" spans="1:5">
      <c r="A105" s="1118" t="s">
        <v>45</v>
      </c>
      <c r="B105" s="1119"/>
      <c r="C105" s="1119"/>
      <c r="D105" s="43">
        <f>SUM(D99:D104)</f>
        <v>323.60000000000002</v>
      </c>
      <c r="E105" s="44" t="s">
        <v>44</v>
      </c>
    </row>
    <row r="107" spans="1:5">
      <c r="B107" s="1115" t="s">
        <v>111</v>
      </c>
      <c r="C107" s="1116"/>
      <c r="D107" s="1116"/>
      <c r="E107" s="1117"/>
    </row>
    <row r="108" spans="1:5">
      <c r="B108" s="29" t="s">
        <v>46</v>
      </c>
      <c r="C108" s="29" t="s">
        <v>43</v>
      </c>
      <c r="D108" s="20" t="s">
        <v>112</v>
      </c>
      <c r="E108" s="20"/>
    </row>
    <row r="109" spans="1:5">
      <c r="B109" s="30">
        <v>13</v>
      </c>
      <c r="C109" s="30">
        <f>D105</f>
        <v>323.60000000000002</v>
      </c>
      <c r="D109" s="26">
        <f>ROUNDUP((B109*C109)*1.1,0)</f>
        <v>4628</v>
      </c>
      <c r="E109" s="31" t="s">
        <v>113</v>
      </c>
    </row>
    <row r="111" spans="1:5">
      <c r="A111" s="46" t="s">
        <v>99</v>
      </c>
      <c r="B111" s="46"/>
    </row>
    <row r="113" spans="1:7">
      <c r="A113" s="1125" t="s">
        <v>47</v>
      </c>
      <c r="B113" s="1126"/>
      <c r="C113" s="1126"/>
      <c r="D113" s="1126"/>
      <c r="E113" s="1126"/>
      <c r="F113" s="1127"/>
    </row>
    <row r="114" spans="1:7">
      <c r="A114" s="4" t="s">
        <v>29</v>
      </c>
      <c r="B114" s="15" t="s">
        <v>28</v>
      </c>
      <c r="C114" s="15" t="s">
        <v>42</v>
      </c>
      <c r="D114" s="15" t="s">
        <v>40</v>
      </c>
      <c r="E114" s="2" t="s">
        <v>48</v>
      </c>
      <c r="F114" s="2" t="s">
        <v>43</v>
      </c>
    </row>
    <row r="115" spans="1:7">
      <c r="A115" s="1134" t="s">
        <v>49</v>
      </c>
      <c r="B115" s="3">
        <v>13.35</v>
      </c>
      <c r="C115" s="3">
        <v>1</v>
      </c>
      <c r="D115" s="3">
        <v>3</v>
      </c>
      <c r="E115" s="3">
        <v>1</v>
      </c>
      <c r="F115" s="3">
        <f>B115*C115*D115*E115</f>
        <v>40.049999999999997</v>
      </c>
    </row>
    <row r="116" spans="1:7">
      <c r="A116" s="1135"/>
      <c r="B116" s="3">
        <v>10.6</v>
      </c>
      <c r="C116" s="3">
        <v>1</v>
      </c>
      <c r="D116" s="3">
        <v>3</v>
      </c>
      <c r="E116" s="3">
        <v>2</v>
      </c>
      <c r="F116" s="3">
        <f t="shared" ref="F116:F124" si="6">B116*C116*D116*E116</f>
        <v>63.599999999999994</v>
      </c>
    </row>
    <row r="117" spans="1:7">
      <c r="A117" s="85"/>
      <c r="B117" s="3">
        <v>1.1499999999999999</v>
      </c>
      <c r="C117" s="3">
        <v>1</v>
      </c>
      <c r="D117" s="3">
        <v>3</v>
      </c>
      <c r="E117" s="3">
        <v>2</v>
      </c>
      <c r="F117" s="3">
        <f t="shared" si="6"/>
        <v>6.8999999999999995</v>
      </c>
    </row>
    <row r="118" spans="1:7">
      <c r="A118" s="85"/>
      <c r="B118" s="3">
        <v>8</v>
      </c>
      <c r="C118" s="3">
        <v>1</v>
      </c>
      <c r="D118" s="3">
        <v>3</v>
      </c>
      <c r="E118" s="3">
        <v>1</v>
      </c>
      <c r="F118" s="3">
        <f t="shared" si="6"/>
        <v>24</v>
      </c>
    </row>
    <row r="119" spans="1:7">
      <c r="A119" s="85"/>
      <c r="B119" s="3">
        <v>6</v>
      </c>
      <c r="C119" s="3">
        <v>1</v>
      </c>
      <c r="D119" s="3">
        <v>3</v>
      </c>
      <c r="E119" s="3">
        <v>1</v>
      </c>
      <c r="F119" s="3">
        <f t="shared" si="6"/>
        <v>18</v>
      </c>
    </row>
    <row r="120" spans="1:7">
      <c r="A120" s="85"/>
      <c r="B120" s="3">
        <v>8</v>
      </c>
      <c r="C120" s="3">
        <v>1</v>
      </c>
      <c r="D120" s="3">
        <v>3.5</v>
      </c>
      <c r="E120" s="3">
        <v>1</v>
      </c>
      <c r="F120" s="3">
        <f t="shared" si="6"/>
        <v>28</v>
      </c>
    </row>
    <row r="121" spans="1:7">
      <c r="A121" s="85"/>
      <c r="B121" s="3">
        <v>6.3</v>
      </c>
      <c r="C121" s="3">
        <v>1</v>
      </c>
      <c r="D121" s="3">
        <v>4.5</v>
      </c>
      <c r="E121" s="3">
        <v>1</v>
      </c>
      <c r="F121" s="3">
        <f t="shared" si="6"/>
        <v>28.349999999999998</v>
      </c>
    </row>
    <row r="122" spans="1:7">
      <c r="A122" s="85"/>
      <c r="B122" s="3">
        <v>3.7</v>
      </c>
      <c r="C122" s="3">
        <v>1</v>
      </c>
      <c r="D122" s="3">
        <v>3</v>
      </c>
      <c r="E122" s="3">
        <v>1</v>
      </c>
      <c r="F122" s="3">
        <f t="shared" si="6"/>
        <v>11.100000000000001</v>
      </c>
    </row>
    <row r="123" spans="1:7">
      <c r="A123" s="85"/>
      <c r="B123" s="3">
        <v>4</v>
      </c>
      <c r="C123" s="3">
        <v>1</v>
      </c>
      <c r="D123" s="3">
        <v>4.5</v>
      </c>
      <c r="E123" s="3">
        <v>1</v>
      </c>
      <c r="F123" s="3">
        <f t="shared" si="6"/>
        <v>18</v>
      </c>
    </row>
    <row r="124" spans="1:7">
      <c r="A124" s="12" t="s">
        <v>31</v>
      </c>
      <c r="B124" s="3">
        <v>21.4</v>
      </c>
      <c r="C124" s="3">
        <v>1</v>
      </c>
      <c r="D124" s="3">
        <v>7</v>
      </c>
      <c r="E124" s="3">
        <v>1</v>
      </c>
      <c r="F124" s="3">
        <f t="shared" si="6"/>
        <v>149.79999999999998</v>
      </c>
    </row>
    <row r="125" spans="1:7">
      <c r="A125" s="34" t="s">
        <v>50</v>
      </c>
      <c r="B125" s="1101">
        <v>97</v>
      </c>
      <c r="C125" s="1102"/>
      <c r="D125" s="1103"/>
      <c r="E125" s="35">
        <v>1</v>
      </c>
      <c r="F125" s="3">
        <f>B125*E125</f>
        <v>97</v>
      </c>
    </row>
    <row r="126" spans="1:7">
      <c r="A126" s="1118" t="s">
        <v>51</v>
      </c>
      <c r="B126" s="1119"/>
      <c r="C126" s="1119"/>
      <c r="D126" s="1119"/>
      <c r="E126" s="1119"/>
      <c r="F126" s="43">
        <f>SUM(F115:F125)</f>
        <v>484.79999999999995</v>
      </c>
      <c r="G126" s="44" t="s">
        <v>44</v>
      </c>
    </row>
    <row r="128" spans="1:7">
      <c r="B128" s="21" t="s">
        <v>53</v>
      </c>
      <c r="C128" s="40"/>
      <c r="D128" s="40">
        <f>5/1000</f>
        <v>5.0000000000000001E-3</v>
      </c>
      <c r="E128" s="24" t="s">
        <v>52</v>
      </c>
    </row>
    <row r="129" spans="1:5">
      <c r="B129" s="1115" t="s">
        <v>20</v>
      </c>
      <c r="C129" s="1116"/>
      <c r="D129" s="1116"/>
      <c r="E129" s="1117"/>
    </row>
    <row r="130" spans="1:5">
      <c r="B130" s="20" t="s">
        <v>19</v>
      </c>
      <c r="C130" s="21"/>
      <c r="D130" s="36">
        <f>ROUNDUP(((($F$126*$D$128)/4)*1200)/50,0)</f>
        <v>15</v>
      </c>
      <c r="E130" s="23" t="s">
        <v>23</v>
      </c>
    </row>
    <row r="131" spans="1:5">
      <c r="B131" s="38" t="s">
        <v>54</v>
      </c>
      <c r="C131" s="39"/>
      <c r="D131" s="37">
        <f>ROUNDUP(((($F$126*$D$128)/4)*3),0)</f>
        <v>2</v>
      </c>
      <c r="E131" s="24" t="s">
        <v>18</v>
      </c>
    </row>
    <row r="133" spans="1:5">
      <c r="B133" s="21" t="s">
        <v>55</v>
      </c>
      <c r="C133" s="40"/>
      <c r="D133" s="40">
        <f>20/1000</f>
        <v>0.02</v>
      </c>
      <c r="E133" s="24" t="s">
        <v>52</v>
      </c>
    </row>
    <row r="134" spans="1:5">
      <c r="B134" s="1115" t="s">
        <v>20</v>
      </c>
      <c r="C134" s="1116"/>
      <c r="D134" s="1116"/>
      <c r="E134" s="1117"/>
    </row>
    <row r="135" spans="1:5">
      <c r="B135" s="20" t="s">
        <v>19</v>
      </c>
      <c r="C135" s="21"/>
      <c r="D135" s="36">
        <f>ROUNDUP(((($F$126*$D$133)/12)*1200)/50,0)</f>
        <v>20</v>
      </c>
      <c r="E135" s="23" t="s">
        <v>23</v>
      </c>
    </row>
    <row r="136" spans="1:5">
      <c r="B136" s="21" t="s">
        <v>56</v>
      </c>
      <c r="C136" s="40"/>
      <c r="D136" s="37">
        <f>D135*2</f>
        <v>40</v>
      </c>
      <c r="E136" s="23" t="s">
        <v>23</v>
      </c>
    </row>
    <row r="137" spans="1:5">
      <c r="B137" s="38" t="s">
        <v>21</v>
      </c>
      <c r="C137" s="39"/>
      <c r="D137" s="37">
        <f>ROUNDUP(((($F$126*$D$133)/12)*9),0)</f>
        <v>8</v>
      </c>
      <c r="E137" s="24" t="s">
        <v>18</v>
      </c>
    </row>
    <row r="139" spans="1:5">
      <c r="A139" s="46" t="s">
        <v>100</v>
      </c>
      <c r="B139" s="46"/>
      <c r="C139" s="46"/>
      <c r="D139" s="46"/>
    </row>
    <row r="140" spans="1:5">
      <c r="A140" s="46"/>
      <c r="B140" s="46"/>
      <c r="C140" s="46"/>
      <c r="D140" s="46"/>
    </row>
    <row r="141" spans="1:5">
      <c r="A141" s="1114" t="s">
        <v>71</v>
      </c>
      <c r="B141" s="1114"/>
      <c r="C141" s="50">
        <f>F126</f>
        <v>484.79999999999995</v>
      </c>
      <c r="D141" s="32" t="s">
        <v>72</v>
      </c>
    </row>
    <row r="142" spans="1:5">
      <c r="A142" s="46"/>
      <c r="B142" s="46"/>
      <c r="C142" s="46"/>
      <c r="D142" s="46"/>
    </row>
    <row r="143" spans="1:5">
      <c r="B143" s="21" t="s">
        <v>75</v>
      </c>
      <c r="C143" s="40"/>
      <c r="D143" s="37">
        <f>ROUNDUP(C141/80,0)</f>
        <v>7</v>
      </c>
      <c r="E143" s="24" t="s">
        <v>74</v>
      </c>
    </row>
    <row r="144" spans="1:5">
      <c r="B144" s="51" t="s">
        <v>73</v>
      </c>
      <c r="C144" s="52"/>
      <c r="D144" s="53">
        <f>ROUNDUP((C141*2)/150,0)</f>
        <v>7</v>
      </c>
      <c r="E144" s="54" t="s">
        <v>74</v>
      </c>
    </row>
    <row r="145" spans="1:6">
      <c r="B145" s="47" t="s">
        <v>76</v>
      </c>
      <c r="C145" s="48"/>
      <c r="D145" s="55">
        <v>20</v>
      </c>
      <c r="E145" s="56" t="s">
        <v>78</v>
      </c>
    </row>
    <row r="146" spans="1:6">
      <c r="B146" s="51" t="s">
        <v>77</v>
      </c>
      <c r="C146" s="51"/>
      <c r="D146" s="55">
        <v>10</v>
      </c>
      <c r="E146" s="48" t="s">
        <v>78</v>
      </c>
    </row>
    <row r="148" spans="1:6">
      <c r="A148" s="46" t="s">
        <v>101</v>
      </c>
    </row>
    <row r="150" spans="1:6">
      <c r="A150" s="1114" t="s">
        <v>85</v>
      </c>
      <c r="B150" s="1114"/>
      <c r="C150" s="1">
        <f>F125</f>
        <v>97</v>
      </c>
      <c r="D150" t="s">
        <v>44</v>
      </c>
    </row>
    <row r="151" spans="1:6">
      <c r="A151" s="62"/>
      <c r="B151" s="62"/>
    </row>
    <row r="152" spans="1:6">
      <c r="B152" s="1122" t="s">
        <v>88</v>
      </c>
      <c r="C152" s="1122"/>
      <c r="D152" s="72">
        <f>C150</f>
        <v>97</v>
      </c>
      <c r="E152" s="73" t="s">
        <v>89</v>
      </c>
    </row>
    <row r="153" spans="1:6">
      <c r="B153" s="1122"/>
      <c r="C153" s="1122"/>
      <c r="D153" s="72">
        <f>13.35+14.3+1.15+4+10.6+(5.75*2)</f>
        <v>54.9</v>
      </c>
      <c r="E153" s="73" t="s">
        <v>90</v>
      </c>
    </row>
    <row r="154" spans="1:6">
      <c r="B154" s="74" t="s">
        <v>91</v>
      </c>
      <c r="C154" s="75"/>
      <c r="D154" s="76">
        <f>SUM(D152:D153)*0.1</f>
        <v>15.190000000000001</v>
      </c>
      <c r="E154" s="77" t="s">
        <v>44</v>
      </c>
    </row>
    <row r="155" spans="1:6">
      <c r="A155" s="67"/>
      <c r="B155" s="64"/>
      <c r="C155" s="64"/>
      <c r="D155" s="37">
        <f>SUM(D152:D154)</f>
        <v>167.09</v>
      </c>
      <c r="E155" s="24" t="s">
        <v>44</v>
      </c>
      <c r="F155" s="67"/>
    </row>
    <row r="156" spans="1:6">
      <c r="B156" s="64"/>
      <c r="C156" s="64"/>
      <c r="D156" s="65"/>
      <c r="E156" s="66"/>
    </row>
    <row r="157" spans="1:6">
      <c r="B157" s="20" t="s">
        <v>86</v>
      </c>
      <c r="C157" s="20"/>
      <c r="D157" s="68">
        <f>((20/4)*C150)/20</f>
        <v>24.25</v>
      </c>
      <c r="E157" s="20" t="s">
        <v>93</v>
      </c>
    </row>
    <row r="158" spans="1:6">
      <c r="B158" s="1104" t="s">
        <v>87</v>
      </c>
      <c r="C158" s="1105"/>
      <c r="D158" s="68">
        <f>ROUNDUP((C150*0.2)/5,0)</f>
        <v>4</v>
      </c>
      <c r="E158" s="20" t="s">
        <v>93</v>
      </c>
    </row>
    <row r="160" spans="1:6">
      <c r="A160" s="46" t="s">
        <v>102</v>
      </c>
    </row>
    <row r="161" spans="1:6">
      <c r="A161" s="46"/>
    </row>
    <row r="162" spans="1:6">
      <c r="A162" s="46"/>
      <c r="B162" s="1104" t="s">
        <v>135</v>
      </c>
      <c r="C162" s="1105"/>
      <c r="D162" s="68">
        <v>2</v>
      </c>
      <c r="E162" s="20" t="s">
        <v>107</v>
      </c>
    </row>
    <row r="163" spans="1:6">
      <c r="A163" s="46"/>
      <c r="B163" s="1104" t="s">
        <v>108</v>
      </c>
      <c r="C163" s="1105"/>
      <c r="D163" s="68">
        <v>4</v>
      </c>
      <c r="E163" s="20" t="s">
        <v>107</v>
      </c>
    </row>
    <row r="164" spans="1:6">
      <c r="A164" s="46"/>
      <c r="B164" s="1104" t="s">
        <v>136</v>
      </c>
      <c r="C164" s="1105"/>
      <c r="D164" s="68">
        <v>1</v>
      </c>
      <c r="E164" s="20" t="s">
        <v>107</v>
      </c>
    </row>
    <row r="165" spans="1:6">
      <c r="A165" s="46"/>
      <c r="B165" s="1104" t="s">
        <v>137</v>
      </c>
      <c r="C165" s="1105"/>
      <c r="D165" s="68">
        <v>3</v>
      </c>
      <c r="E165" s="20" t="s">
        <v>107</v>
      </c>
    </row>
    <row r="166" spans="1:6">
      <c r="A166" s="46"/>
      <c r="B166" s="1104" t="s">
        <v>138</v>
      </c>
      <c r="C166" s="1105"/>
      <c r="D166" s="68">
        <v>1</v>
      </c>
      <c r="E166" s="20" t="s">
        <v>107</v>
      </c>
    </row>
    <row r="167" spans="1:6">
      <c r="A167" s="46"/>
      <c r="B167" s="1104" t="s">
        <v>109</v>
      </c>
      <c r="C167" s="1105"/>
      <c r="D167" s="68">
        <f>(ROUNDUP(14.55/0.5,0))*2</f>
        <v>60</v>
      </c>
      <c r="E167" s="20" t="s">
        <v>107</v>
      </c>
    </row>
    <row r="168" spans="1:6">
      <c r="A168" s="46"/>
      <c r="B168" s="1104" t="s">
        <v>110</v>
      </c>
      <c r="C168" s="1105"/>
      <c r="D168" s="68">
        <f>(ROUNDUP(14.55/4.5,0))*(ROUNDUP(11.8/0.36,0))</f>
        <v>132</v>
      </c>
      <c r="E168" s="20" t="s">
        <v>107</v>
      </c>
    </row>
    <row r="169" spans="1:6">
      <c r="A169" s="46"/>
    </row>
    <row r="170" spans="1:6">
      <c r="B170" s="1123" t="s">
        <v>104</v>
      </c>
      <c r="C170" s="1124"/>
      <c r="D170" s="72">
        <f>(14.55*11.8)*1.3*16</f>
        <v>3571.1520000000005</v>
      </c>
      <c r="E170" s="73" t="s">
        <v>105</v>
      </c>
    </row>
    <row r="171" spans="1:6">
      <c r="B171" s="74" t="s">
        <v>106</v>
      </c>
      <c r="C171" s="75"/>
      <c r="D171" s="76">
        <f>D170*0.05</f>
        <v>178.55760000000004</v>
      </c>
      <c r="E171" s="77" t="s">
        <v>44</v>
      </c>
    </row>
    <row r="172" spans="1:6">
      <c r="D172" s="37">
        <f>ROUNDUP(SUM(D170:D171),0)</f>
        <v>3750</v>
      </c>
      <c r="E172" s="24" t="s">
        <v>105</v>
      </c>
    </row>
    <row r="174" spans="1:6" s="87" customFormat="1">
      <c r="A174" s="86" t="s">
        <v>70</v>
      </c>
      <c r="B174" s="86"/>
      <c r="C174" s="86"/>
      <c r="D174" s="86"/>
    </row>
    <row r="175" spans="1:6" s="88" customFormat="1"/>
    <row r="176" spans="1:6" s="88" customFormat="1" hidden="1">
      <c r="A176" s="1111" t="s">
        <v>57</v>
      </c>
      <c r="B176" s="1112"/>
      <c r="C176" s="1112"/>
      <c r="D176" s="1112"/>
      <c r="E176" s="1113"/>
      <c r="F176" s="89" t="s">
        <v>42</v>
      </c>
    </row>
    <row r="177" spans="1:6" s="88" customFormat="1" ht="20.100000000000001" hidden="1" customHeight="1">
      <c r="A177" s="1108" t="s">
        <v>60</v>
      </c>
      <c r="B177" s="1109"/>
      <c r="C177" s="1109"/>
      <c r="D177" s="1109"/>
      <c r="E177" s="1110"/>
      <c r="F177" s="90">
        <v>5</v>
      </c>
    </row>
    <row r="178" spans="1:6" s="88" customFormat="1" ht="20.100000000000001" hidden="1" customHeight="1">
      <c r="A178" s="1107" t="s">
        <v>58</v>
      </c>
      <c r="B178" s="1107"/>
      <c r="C178" s="1107"/>
      <c r="D178" s="1107"/>
      <c r="E178" s="1107"/>
      <c r="F178" s="91">
        <v>3</v>
      </c>
    </row>
    <row r="179" spans="1:6" s="88" customFormat="1" ht="20.100000000000001" hidden="1" customHeight="1">
      <c r="A179" s="1107" t="s">
        <v>59</v>
      </c>
      <c r="B179" s="1107"/>
      <c r="C179" s="1107"/>
      <c r="D179" s="1107"/>
      <c r="E179" s="1107"/>
      <c r="F179" s="91">
        <v>1</v>
      </c>
    </row>
    <row r="180" spans="1:6" s="88" customFormat="1" ht="20.100000000000001" hidden="1" customHeight="1">
      <c r="A180" s="1107" t="s">
        <v>62</v>
      </c>
      <c r="B180" s="1107"/>
      <c r="C180" s="1107"/>
      <c r="D180" s="1107"/>
      <c r="E180" s="1107"/>
      <c r="F180" s="91">
        <v>10</v>
      </c>
    </row>
    <row r="181" spans="1:6" s="88" customFormat="1" ht="20.100000000000001" hidden="1" customHeight="1">
      <c r="A181" s="1107" t="s">
        <v>61</v>
      </c>
      <c r="B181" s="1107"/>
      <c r="C181" s="1107"/>
      <c r="D181" s="1107"/>
      <c r="E181" s="1107"/>
      <c r="F181" s="91">
        <v>50</v>
      </c>
    </row>
    <row r="182" spans="1:6" s="88" customFormat="1" hidden="1">
      <c r="C182" s="92"/>
    </row>
    <row r="183" spans="1:6" s="88" customFormat="1">
      <c r="A183" s="93" t="s">
        <v>103</v>
      </c>
    </row>
    <row r="185" spans="1:6">
      <c r="A185" s="1115" t="s">
        <v>57</v>
      </c>
      <c r="B185" s="1116"/>
      <c r="C185" s="1116"/>
      <c r="D185" s="1116"/>
      <c r="E185" s="1117"/>
      <c r="F185" s="29" t="s">
        <v>42</v>
      </c>
    </row>
    <row r="186" spans="1:6" ht="20.100000000000001" customHeight="1">
      <c r="A186" s="1120" t="s">
        <v>95</v>
      </c>
      <c r="B186" s="1120"/>
      <c r="C186" s="1120"/>
      <c r="D186" s="1120"/>
      <c r="E186" s="1120"/>
      <c r="F186" s="49">
        <v>1</v>
      </c>
    </row>
    <row r="187" spans="1:6" ht="20.100000000000001" customHeight="1">
      <c r="A187" s="1106" t="s">
        <v>67</v>
      </c>
      <c r="B187" s="1106"/>
      <c r="C187" s="1106"/>
      <c r="D187" s="1106"/>
      <c r="E187" s="1106"/>
      <c r="F187" s="49">
        <v>8</v>
      </c>
    </row>
    <row r="188" spans="1:6" ht="20.100000000000001" customHeight="1">
      <c r="A188" s="1120" t="s">
        <v>63</v>
      </c>
      <c r="B188" s="1120"/>
      <c r="C188" s="1120"/>
      <c r="D188" s="1120"/>
      <c r="E188" s="1120"/>
      <c r="F188" s="49">
        <v>24</v>
      </c>
    </row>
    <row r="189" spans="1:6" ht="20.100000000000001" customHeight="1">
      <c r="A189" s="1104" t="s">
        <v>64</v>
      </c>
      <c r="B189" s="1121"/>
      <c r="C189" s="1121"/>
      <c r="D189" s="1121"/>
      <c r="E189" s="1105"/>
      <c r="F189" s="30">
        <v>6</v>
      </c>
    </row>
    <row r="190" spans="1:6" ht="20.100000000000001" customHeight="1">
      <c r="A190" s="1106" t="s">
        <v>65</v>
      </c>
      <c r="B190" s="1106"/>
      <c r="C190" s="1106"/>
      <c r="D190" s="1106"/>
      <c r="E190" s="1106"/>
      <c r="F190" s="30">
        <v>30</v>
      </c>
    </row>
    <row r="191" spans="1:6" ht="20.100000000000001" customHeight="1">
      <c r="A191" s="1106" t="s">
        <v>66</v>
      </c>
      <c r="B191" s="1106"/>
      <c r="C191" s="1106"/>
      <c r="D191" s="1106"/>
      <c r="E191" s="1106"/>
      <c r="F191" s="30">
        <v>14</v>
      </c>
    </row>
    <row r="192" spans="1:6" ht="20.100000000000001" customHeight="1">
      <c r="A192" s="1106" t="s">
        <v>94</v>
      </c>
      <c r="B192" s="1106"/>
      <c r="C192" s="1106"/>
      <c r="D192" s="1106"/>
      <c r="E192" s="1106"/>
      <c r="F192" s="30">
        <v>7</v>
      </c>
    </row>
    <row r="193" spans="1:6" ht="20.100000000000001" customHeight="1">
      <c r="A193" s="1106" t="s">
        <v>69</v>
      </c>
      <c r="B193" s="1106"/>
      <c r="C193" s="1106"/>
      <c r="D193" s="1106"/>
      <c r="E193" s="1106"/>
      <c r="F193" s="30">
        <f>12*(F191+F192)</f>
        <v>252</v>
      </c>
    </row>
    <row r="194" spans="1:6" ht="20.100000000000001" customHeight="1">
      <c r="A194" s="1106" t="s">
        <v>68</v>
      </c>
      <c r="B194" s="1106"/>
      <c r="C194" s="1106"/>
      <c r="D194" s="1106"/>
      <c r="E194" s="1106"/>
      <c r="F194" s="49">
        <f>12*F190</f>
        <v>360</v>
      </c>
    </row>
    <row r="195" spans="1:6" ht="20.100000000000001" customHeight="1">
      <c r="A195" s="1106" t="s">
        <v>79</v>
      </c>
      <c r="B195" s="1106"/>
      <c r="C195" s="1106"/>
      <c r="D195" s="1106"/>
      <c r="E195" s="1106"/>
      <c r="F195" s="59">
        <f>(F193+F194)/2</f>
        <v>306</v>
      </c>
    </row>
  </sheetData>
  <mergeCells count="64">
    <mergeCell ref="A25:E25"/>
    <mergeCell ref="A78:B78"/>
    <mergeCell ref="A115:A116"/>
    <mergeCell ref="A1:G1"/>
    <mergeCell ref="A31:F31"/>
    <mergeCell ref="A40:F40"/>
    <mergeCell ref="A13:F13"/>
    <mergeCell ref="A7:F7"/>
    <mergeCell ref="A69:G69"/>
    <mergeCell ref="A46:F46"/>
    <mergeCell ref="A97:D97"/>
    <mergeCell ref="A105:C105"/>
    <mergeCell ref="A79:B79"/>
    <mergeCell ref="A80:B80"/>
    <mergeCell ref="A81:G81"/>
    <mergeCell ref="A82:B82"/>
    <mergeCell ref="A59:C59"/>
    <mergeCell ref="A113:F113"/>
    <mergeCell ref="B84:D84"/>
    <mergeCell ref="B107:E107"/>
    <mergeCell ref="B61:E61"/>
    <mergeCell ref="A70:B70"/>
    <mergeCell ref="A71:B71"/>
    <mergeCell ref="A75:B75"/>
    <mergeCell ref="A76:B76"/>
    <mergeCell ref="A77:B77"/>
    <mergeCell ref="A72:B72"/>
    <mergeCell ref="A73:B73"/>
    <mergeCell ref="A74:B74"/>
    <mergeCell ref="B65:C65"/>
    <mergeCell ref="D65:E65"/>
    <mergeCell ref="B152:C153"/>
    <mergeCell ref="B158:C158"/>
    <mergeCell ref="B170:C170"/>
    <mergeCell ref="B162:C162"/>
    <mergeCell ref="B167:C167"/>
    <mergeCell ref="B168:C168"/>
    <mergeCell ref="B164:C164"/>
    <mergeCell ref="A194:E194"/>
    <mergeCell ref="A195:E195"/>
    <mergeCell ref="A185:E185"/>
    <mergeCell ref="A186:E186"/>
    <mergeCell ref="A187:E187"/>
    <mergeCell ref="A188:E188"/>
    <mergeCell ref="A189:E189"/>
    <mergeCell ref="A190:E190"/>
    <mergeCell ref="A191:E191"/>
    <mergeCell ref="A192:E192"/>
    <mergeCell ref="B125:D125"/>
    <mergeCell ref="B163:C163"/>
    <mergeCell ref="B165:C165"/>
    <mergeCell ref="B166:C166"/>
    <mergeCell ref="A193:E193"/>
    <mergeCell ref="A178:E178"/>
    <mergeCell ref="A179:E179"/>
    <mergeCell ref="A180:E180"/>
    <mergeCell ref="A181:E181"/>
    <mergeCell ref="A177:E177"/>
    <mergeCell ref="A176:E176"/>
    <mergeCell ref="A141:B141"/>
    <mergeCell ref="B134:E134"/>
    <mergeCell ref="B129:E129"/>
    <mergeCell ref="A126:E126"/>
    <mergeCell ref="A150:B150"/>
  </mergeCells>
  <pageMargins left="0.19685039370078741" right="0" top="0.78740157480314965" bottom="0" header="0" footer="0"/>
  <pageSetup paperSize="9" scale="73" orientation="portrait" r:id="rId1"/>
  <rowBreaks count="3" manualBreakCount="3">
    <brk id="30" max="6" man="1"/>
    <brk id="66" max="6" man="1"/>
    <brk id="13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ANEXO A MC</vt:lpstr>
      <vt:lpstr>MPO I</vt:lpstr>
      <vt:lpstr>CFF</vt:lpstr>
      <vt:lpstr>MC</vt:lpstr>
      <vt:lpstr>COMPOSIÇÃO DE CUSTO</vt:lpstr>
      <vt:lpstr>COTAÇÃO</vt:lpstr>
      <vt:lpstr>PLANILHA</vt:lpstr>
      <vt:lpstr>BM 01</vt:lpstr>
      <vt:lpstr>Plan1</vt:lpstr>
      <vt:lpstr>'ANEXO A MC'!Area_de_impressao</vt:lpstr>
      <vt:lpstr>CFF!Area_de_impressao</vt:lpstr>
      <vt:lpstr>MC!Area_de_impressao</vt:lpstr>
      <vt:lpstr>'MPO I'!Area_de_impressao</vt:lpstr>
      <vt:lpstr>Plan1!Area_de_impressao</vt:lpstr>
      <vt:lpstr>PLANILHA!Area_de_impressao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Priscila</dc:creator>
  <cp:lastModifiedBy>PMBM</cp:lastModifiedBy>
  <cp:lastPrinted>2022-03-21T14:31:46Z</cp:lastPrinted>
  <dcterms:created xsi:type="dcterms:W3CDTF">2014-09-14T18:58:23Z</dcterms:created>
  <dcterms:modified xsi:type="dcterms:W3CDTF">2022-03-21T16:58:35Z</dcterms:modified>
</cp:coreProperties>
</file>